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artagesStnt1302\sas\SPPE MISSION TERRITORIALE\Analyste Financier - Delphine Ponty\SIMULATEUR\"/>
    </mc:Choice>
  </mc:AlternateContent>
  <xr:revisionPtr revIDLastSave="21" documentId="13_ncr:1_{BF039080-4506-400B-8203-332EDD572BC7}" xr6:coauthVersionLast="47" xr6:coauthVersionMax="47" xr10:uidLastSave="{2A600AF4-FF23-4DE8-989A-FE87837E4456}"/>
  <bookViews>
    <workbookView xWindow="330" yWindow="-120" windowWidth="24990" windowHeight="15270" activeTab="1" xr2:uid="{50FF9CFD-048A-4734-8DBE-F2890E5063D1}"/>
  </bookViews>
  <sheets>
    <sheet name="Données à renseigner" sheetId="4" r:id="rId1"/>
    <sheet name="Simulateur calcul" sheetId="5" r:id="rId2"/>
    <sheet name="Feuil1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0" i="5" l="1"/>
  <c r="S23" i="5"/>
  <c r="S19" i="5"/>
  <c r="S18" i="5" l="1"/>
  <c r="S24" i="5" l="1" a="1"/>
  <c r="S24" i="5" s="1"/>
  <c r="S25" i="5" s="1"/>
  <c r="S21" i="5" a="1"/>
  <c r="S21" i="5" s="1"/>
  <c r="S22" i="5" s="1"/>
  <c r="S15" i="5"/>
  <c r="S26" i="5" l="1"/>
  <c r="B4" i="5"/>
  <c r="S6" i="5"/>
  <c r="I16" i="5"/>
  <c r="S4" i="5"/>
  <c r="B10" i="5" l="1"/>
  <c r="B8" i="5"/>
  <c r="S5" i="5"/>
  <c r="N14" i="5"/>
  <c r="N6" i="5"/>
  <c r="I5" i="5"/>
  <c r="I4" i="5"/>
  <c r="B16" i="5"/>
  <c r="D13" i="5"/>
  <c r="D12" i="5"/>
  <c r="B13" i="5"/>
  <c r="B12" i="5"/>
  <c r="B18" i="5" l="1"/>
  <c r="N17" i="5"/>
  <c r="I15" i="5"/>
  <c r="I17" i="5" s="1" a="1"/>
  <c r="I17" i="5" s="1"/>
  <c r="S7" i="5"/>
  <c r="F9" i="4" s="1"/>
  <c r="N15" i="5"/>
  <c r="N18" i="5" s="1" a="1"/>
  <c r="N18" i="5" s="1"/>
  <c r="B14" i="5"/>
  <c r="B9" i="5" s="1"/>
  <c r="C8" i="5"/>
  <c r="C10" i="5"/>
  <c r="B6" i="5"/>
  <c r="N19" i="5" l="1"/>
  <c r="C9" i="5"/>
  <c r="I18" i="5"/>
  <c r="F7" i="4" s="1"/>
  <c r="N16" i="5" a="1"/>
  <c r="N16" i="5" s="1"/>
  <c r="N20" i="5" l="1"/>
  <c r="N22" i="5" s="1"/>
  <c r="N24" i="5" s="1"/>
  <c r="D8" i="5" a="1"/>
  <c r="D8" i="5" s="1"/>
  <c r="B19" i="5" s="1"/>
  <c r="B20" i="5" s="1"/>
  <c r="I6" i="5" l="1"/>
  <c r="I7" i="5" s="1"/>
  <c r="F5" i="4" s="1"/>
  <c r="F8" i="4"/>
  <c r="N5" i="5" l="1"/>
  <c r="N7" i="5" s="1"/>
  <c r="F6" i="4" s="1"/>
  <c r="B21" i="5"/>
  <c r="B22" i="5" s="1"/>
  <c r="F4" i="4" s="1"/>
  <c r="S14" i="5" l="1"/>
  <c r="S28" i="5" s="1"/>
  <c r="S27" i="5" s="1"/>
  <c r="S16" i="5" l="1"/>
  <c r="F10" i="4"/>
  <c r="F11" i="4" l="1"/>
  <c r="F12" i="4" s="1"/>
  <c r="S17" i="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<sst xmlns="http://schemas.openxmlformats.org/spreadsheetml/2006/main" count="117" uniqueCount="104">
  <si>
    <t>DONNEES A COMPLETER</t>
  </si>
  <si>
    <t>LES DROITS CAF 2026</t>
  </si>
  <si>
    <t xml:space="preserve"> Activité</t>
  </si>
  <si>
    <t>Fourniture de couches et repas</t>
  </si>
  <si>
    <t>OUI</t>
  </si>
  <si>
    <t xml:space="preserve">PSU </t>
  </si>
  <si>
    <t>Nombre de places</t>
  </si>
  <si>
    <t>JOURNEES PEDAGOGIQUES</t>
  </si>
  <si>
    <t>Taux de ressortissants RG</t>
  </si>
  <si>
    <t>PREPARATION A L'ACCUEIL</t>
  </si>
  <si>
    <t>Nombre d'enfants inscrits</t>
  </si>
  <si>
    <t>BONUS "MIXITE SOCIALE"</t>
  </si>
  <si>
    <t>Nombre d'heures de présence</t>
  </si>
  <si>
    <t>BONUS "INCLUSION HANDICAP"</t>
  </si>
  <si>
    <t>Nombre d'heure facturées</t>
  </si>
  <si>
    <r>
      <t xml:space="preserve">BONUS ATTRACTIVITE
</t>
    </r>
    <r>
      <rPr>
        <i/>
        <sz val="14"/>
        <color theme="1"/>
        <rFont val="Calibri"/>
        <family val="2"/>
        <scheme val="minor"/>
      </rPr>
      <t>pour 1 année pleine</t>
    </r>
  </si>
  <si>
    <t>Nombre d'enfants "AEEH"</t>
  </si>
  <si>
    <t>BONUS TERRITOIRE</t>
  </si>
  <si>
    <t>Nombre de journée(s) pédagogique(s)</t>
  </si>
  <si>
    <t>FINANCEMENT TOTAL CAF</t>
  </si>
  <si>
    <t>Financières</t>
  </si>
  <si>
    <t>Participations des familles (70641)</t>
  </si>
  <si>
    <t>Fond d'accompagnement CAF</t>
  </si>
  <si>
    <r>
      <t xml:space="preserve">Total des charges 
</t>
    </r>
    <r>
      <rPr>
        <b/>
        <i/>
        <sz val="11"/>
        <color theme="1"/>
        <rFont val="Calibri"/>
        <family val="2"/>
        <scheme val="minor"/>
      </rPr>
      <t>(participations volontaires comprises)</t>
    </r>
  </si>
  <si>
    <t>CTG</t>
  </si>
  <si>
    <r>
      <t xml:space="preserve">Moyenne annuelle du nombre de places existantes soutenues par la colléctivité
</t>
    </r>
    <r>
      <rPr>
        <b/>
        <sz val="10"/>
        <color theme="1"/>
        <rFont val="Calibri"/>
        <family val="2"/>
        <scheme val="minor"/>
      </rPr>
      <t>(au sein de la structure)</t>
    </r>
  </si>
  <si>
    <r>
      <t>Nombre de places</t>
    </r>
    <r>
      <rPr>
        <b/>
        <u/>
        <sz val="14"/>
        <color theme="1"/>
        <rFont val="Calibri"/>
        <family val="2"/>
        <scheme val="minor"/>
      </rPr>
      <t xml:space="preserve"> nouvelles</t>
    </r>
    <r>
      <rPr>
        <b/>
        <sz val="14"/>
        <color theme="1"/>
        <rFont val="Calibri"/>
        <family val="2"/>
        <scheme val="minor"/>
      </rPr>
      <t xml:space="preserve"> soutenues par la colléctivité 
</t>
    </r>
    <r>
      <rPr>
        <b/>
        <sz val="10"/>
        <color theme="1"/>
        <rFont val="Calibri"/>
        <family val="2"/>
        <scheme val="minor"/>
      </rPr>
      <t>(au sein de la structure)</t>
    </r>
  </si>
  <si>
    <t>Montant forfaitaire du bonus CTG / Places existantes soutenues POUR 2025</t>
  </si>
  <si>
    <t>Groupe de commune MAIA</t>
  </si>
  <si>
    <t>Type d'EAJE</t>
  </si>
  <si>
    <t xml:space="preserve">Public </t>
  </si>
  <si>
    <t xml:space="preserve">Droit au bonus attractivité </t>
  </si>
  <si>
    <t>NON</t>
  </si>
  <si>
    <t>Privé</t>
  </si>
  <si>
    <t>GROUPE COMMUNE</t>
  </si>
  <si>
    <t>Non éligible</t>
  </si>
  <si>
    <t xml:space="preserve">CALCUL DE LA PSU </t>
  </si>
  <si>
    <t>HEURES DE PREPARATION A L'ACCUEIL</t>
  </si>
  <si>
    <t>BONUS ATTRACTIVITE</t>
  </si>
  <si>
    <t>CF Instruction Réseau  - LR 2026-130  du 29/05/26</t>
  </si>
  <si>
    <t>La structure fournit-elle 
les couches et repas ?</t>
  </si>
  <si>
    <r>
      <t xml:space="preserve">Nombre de journée pédagogique 
</t>
    </r>
    <r>
      <rPr>
        <i/>
        <sz val="11"/>
        <color theme="1"/>
        <rFont val="Calibri"/>
        <family val="2"/>
        <scheme val="minor"/>
      </rPr>
      <t>Maximum 3 jours</t>
    </r>
  </si>
  <si>
    <t>Nombre d'heures</t>
  </si>
  <si>
    <t>Droit au bonus attractivité :</t>
  </si>
  <si>
    <t xml:space="preserve">Nombre de place agrées </t>
  </si>
  <si>
    <t xml:space="preserve">66% du prix de revient plafonné </t>
  </si>
  <si>
    <t>EAJE</t>
  </si>
  <si>
    <t>Nbr enfants inscrits sur l'année</t>
  </si>
  <si>
    <t xml:space="preserve">Montant du bonus par place </t>
  </si>
  <si>
    <t>Taux de facturation</t>
  </si>
  <si>
    <t>Prix plafond</t>
  </si>
  <si>
    <t>PS/Heure facturée
(66% du prix plafond)</t>
  </si>
  <si>
    <t>Prix plafond en fonction du taux de facturation</t>
  </si>
  <si>
    <t xml:space="preserve">Montant du financement accordé au titre des journées pédagogiques </t>
  </si>
  <si>
    <t xml:space="preserve">Montant du financement accordé pour les heures de préparation à l'accueil </t>
  </si>
  <si>
    <t>Montant du bonus attractivité</t>
  </si>
  <si>
    <t xml:space="preserve">&lt;= 107% </t>
  </si>
  <si>
    <t>entre 107 et 120%</t>
  </si>
  <si>
    <t>&gt;= 120%</t>
  </si>
  <si>
    <t xml:space="preserve">Heures facturées </t>
  </si>
  <si>
    <t xml:space="preserve">Total des charges </t>
  </si>
  <si>
    <t>BONUS TERRITOIRE
(offres existantes)</t>
  </si>
  <si>
    <t xml:space="preserve">Heures réelles </t>
  </si>
  <si>
    <r>
      <t xml:space="preserve">Participation des familles  
</t>
    </r>
    <r>
      <rPr>
        <b/>
        <i/>
        <sz val="9"/>
        <color theme="1"/>
        <rFont val="Calibri"/>
        <family val="2"/>
        <scheme val="minor"/>
      </rPr>
      <t>(Compte 70641)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</si>
  <si>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Taux de facturation % </t>
  </si>
  <si>
    <t xml:space="preserve">Calculé en fonction des participations familiales moyennes facturées par la structure </t>
  </si>
  <si>
    <t>Nombre d'enfant en situation de handicap inscrits dans la structure sur l'année</t>
  </si>
  <si>
    <t xml:space="preserve">
Cofinancement CAF +  Familles</t>
  </si>
  <si>
    <t>Détermination du montant horaire moyen des participations familiales :</t>
  </si>
  <si>
    <t>Pourcentage d'enfant en situation de handicap</t>
  </si>
  <si>
    <t>Cofinancement plafond 
(90% des charges)</t>
  </si>
  <si>
    <t xml:space="preserve">Taux de régime général appliqué </t>
  </si>
  <si>
    <t>Taux de financement à retenir</t>
  </si>
  <si>
    <t>Taux de cofinancement 
CAF + Familles (avant BT)</t>
  </si>
  <si>
    <t xml:space="preserve">Montant par place </t>
  </si>
  <si>
    <t xml:space="preserve">Détermination du coût par place </t>
  </si>
  <si>
    <t>Taux de cofinancement 
CAF + Familles (après BT)</t>
  </si>
  <si>
    <t>Prix de revient     
(Total des charges  / Heures réelles)</t>
  </si>
  <si>
    <t>Montant du bonus mixité sociale</t>
  </si>
  <si>
    <t>Prix de revient plafond par place</t>
  </si>
  <si>
    <t>Groupe de communes MAIA</t>
  </si>
  <si>
    <t xml:space="preserve">Prix pris en compte  </t>
  </si>
  <si>
    <t>Cout par place à prendre en compte</t>
  </si>
  <si>
    <r>
      <t xml:space="preserve">Nombre de place - 
</t>
    </r>
    <r>
      <rPr>
        <b/>
        <sz val="11"/>
        <color theme="1"/>
        <rFont val="Calibri"/>
        <family val="2"/>
        <scheme val="minor"/>
      </rPr>
      <t>Offres existantes</t>
    </r>
  </si>
  <si>
    <t xml:space="preserve">PS/Heure facturée  </t>
  </si>
  <si>
    <t>Montant du bonus par place calculé</t>
  </si>
  <si>
    <r>
      <t xml:space="preserve">Montant du bonus territoire par place - </t>
    </r>
    <r>
      <rPr>
        <b/>
        <sz val="14"/>
        <color theme="1"/>
        <rFont val="Calibri"/>
        <family val="2"/>
        <scheme val="minor"/>
      </rPr>
      <t>offres existantes</t>
    </r>
    <r>
      <rPr>
        <sz val="14"/>
        <color theme="1"/>
        <rFont val="Calibri"/>
        <family val="2"/>
        <scheme val="minor"/>
      </rPr>
      <t xml:space="preserve">
(2025 + REVAL 8,10%)</t>
    </r>
  </si>
  <si>
    <t>PSU  tout régime confondu</t>
  </si>
  <si>
    <t xml:space="preserve">Montant plafond de bonus par place </t>
  </si>
  <si>
    <r>
      <t xml:space="preserve">Montant du bonus territoire par place - </t>
    </r>
    <r>
      <rPr>
        <b/>
        <sz val="14"/>
        <color theme="1"/>
        <rFont val="Calibri"/>
        <family val="2"/>
        <scheme val="minor"/>
      </rPr>
      <t>offres existantes</t>
    </r>
    <r>
      <rPr>
        <sz val="14"/>
        <color theme="1"/>
        <rFont val="Calibri"/>
        <family val="2"/>
        <scheme val="minor"/>
      </rPr>
      <t xml:space="preserve">
(plancher)</t>
    </r>
  </si>
  <si>
    <t xml:space="preserve">PSU  payée par la CAF </t>
  </si>
  <si>
    <t xml:space="preserve">Droits 2026 (MàJ 05/2026) </t>
  </si>
  <si>
    <t>Montant du bonus par place retenu</t>
  </si>
  <si>
    <r>
      <t xml:space="preserve">Montant du bonus territoire par place - </t>
    </r>
    <r>
      <rPr>
        <b/>
        <sz val="14"/>
        <color theme="1"/>
        <rFont val="Calibri"/>
        <family val="2"/>
        <scheme val="minor"/>
      </rPr>
      <t>offres existantes</t>
    </r>
  </si>
  <si>
    <r>
      <t xml:space="preserve">Nombre de place - 
</t>
    </r>
    <r>
      <rPr>
        <b/>
        <sz val="11"/>
        <color theme="1"/>
        <rFont val="Calibri"/>
        <family val="2"/>
        <scheme val="minor"/>
      </rPr>
      <t>Offres nouvelles</t>
    </r>
  </si>
  <si>
    <t>DP - 12-2025</t>
  </si>
  <si>
    <t>Montant du bonus inclusion handicap</t>
  </si>
  <si>
    <r>
      <t xml:space="preserve">Montant du bonus territoire par place - </t>
    </r>
    <r>
      <rPr>
        <b/>
        <sz val="14"/>
        <color theme="1"/>
        <rFont val="Calibri"/>
        <family val="2"/>
        <scheme val="minor"/>
      </rPr>
      <t>offres nouvelles</t>
    </r>
  </si>
  <si>
    <t>Montant de l'aide</t>
  </si>
  <si>
    <t xml:space="preserve">Ecrêtement </t>
  </si>
  <si>
    <t>Montant du bonus territoire</t>
  </si>
  <si>
    <t>BONUS CTG</t>
  </si>
  <si>
    <t>Plancher Offre  Existante</t>
  </si>
  <si>
    <t>Montant Offre  Nouvelles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</si>
</sst>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#,##0.00\ &quot;€&quot;"/>
    <numFmt numFmtId="166" formatCode="_-* #,##0.00\ [$€-40C]_-;\-* #,##0.00\ [$€-40C]_-;_-* &quot;-&quot;??\ [$€-40C]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i/>
      <sz val="11"/>
      <color theme="2"/>
      <name val="Calibri"/>
      <family val="2"/>
      <scheme val="minor"/>
    </font>
    <font>
      <b/>
      <sz val="14"/>
      <color rgb="FF009999"/>
      <name val="Calibri"/>
      <family val="2"/>
      <scheme val="minor"/>
    </font>
    <font>
      <b/>
      <sz val="14"/>
      <color theme="2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rgb="FFFFC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49">
    <xf numFmtId="0" fontId="0" fillId="0" borderId="0" xfId="0"/>
    <xf numFmtId="164" fontId="0" fillId="0" borderId="9" xfId="0" applyNumberFormat="1" applyBorder="1" applyProtection="1">
      <protection hidden="1"/>
    </xf>
    <xf numFmtId="164" fontId="0" fillId="0" borderId="11" xfId="0" applyNumberFormat="1" applyBorder="1" applyProtection="1">
      <protection hidden="1"/>
    </xf>
    <xf numFmtId="164" fontId="0" fillId="0" borderId="14" xfId="0" applyNumberFormat="1" applyBorder="1" applyProtection="1">
      <protection hidden="1"/>
    </xf>
    <xf numFmtId="43" fontId="0" fillId="0" borderId="8" xfId="1" applyFont="1" applyBorder="1" applyProtection="1">
      <protection hidden="1"/>
    </xf>
    <xf numFmtId="43" fontId="0" fillId="0" borderId="13" xfId="1" applyFont="1" applyBorder="1" applyProtection="1">
      <protection hidden="1"/>
    </xf>
    <xf numFmtId="2" fontId="7" fillId="0" borderId="29" xfId="1" applyNumberFormat="1" applyFont="1" applyBorder="1" applyProtection="1">
      <protection hidden="1"/>
    </xf>
    <xf numFmtId="2" fontId="7" fillId="0" borderId="21" xfId="3" applyNumberFormat="1" applyFont="1" applyFill="1" applyBorder="1" applyAlignment="1" applyProtection="1">
      <alignment vertical="center"/>
      <protection hidden="1"/>
    </xf>
    <xf numFmtId="43" fontId="0" fillId="0" borderId="10" xfId="1" applyFont="1" applyBorder="1" applyProtection="1">
      <protection hidden="1"/>
    </xf>
    <xf numFmtId="2" fontId="5" fillId="0" borderId="28" xfId="0" applyNumberFormat="1" applyFont="1" applyBorder="1" applyAlignment="1" applyProtection="1">
      <alignment vertical="center"/>
      <protection hidden="1"/>
    </xf>
    <xf numFmtId="2" fontId="2" fillId="0" borderId="0" xfId="0" applyNumberFormat="1" applyFont="1" applyAlignment="1" applyProtection="1">
      <alignment horizontal="center" vertical="center"/>
      <protection hidden="1"/>
    </xf>
    <xf numFmtId="2" fontId="2" fillId="2" borderId="0" xfId="0" applyNumberFormat="1" applyFont="1" applyFill="1" applyAlignment="1" applyProtection="1">
      <alignment horizontal="center" vertic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44" fontId="2" fillId="0" borderId="0" xfId="2" applyFont="1" applyBorder="1" applyAlignment="1" applyProtection="1">
      <alignment vertical="center"/>
      <protection hidden="1"/>
    </xf>
    <xf numFmtId="2" fontId="0" fillId="2" borderId="0" xfId="0" applyNumberFormat="1" applyFill="1" applyAlignment="1" applyProtection="1">
      <alignment horizontal="center" vertical="center"/>
      <protection hidden="1"/>
    </xf>
    <xf numFmtId="44" fontId="2" fillId="2" borderId="0" xfId="2" applyFont="1" applyFill="1" applyBorder="1" applyAlignment="1" applyProtection="1">
      <alignment vertical="center"/>
      <protection hidden="1"/>
    </xf>
    <xf numFmtId="0" fontId="5" fillId="0" borderId="0" xfId="0" applyFont="1"/>
    <xf numFmtId="44" fontId="0" fillId="0" borderId="29" xfId="2" applyFont="1" applyBorder="1" applyAlignment="1" applyProtection="1">
      <alignment horizontal="right" vertical="center"/>
      <protection hidden="1"/>
    </xf>
    <xf numFmtId="166" fontId="0" fillId="0" borderId="29" xfId="0" applyNumberFormat="1" applyBorder="1" applyAlignment="1" applyProtection="1">
      <alignment horizontal="right"/>
      <protection hidden="1"/>
    </xf>
    <xf numFmtId="0" fontId="17" fillId="0" borderId="0" xfId="0" applyFont="1"/>
    <xf numFmtId="0" fontId="7" fillId="0" borderId="38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0" fillId="0" borderId="0" xfId="0" applyProtection="1"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5" fillId="0" borderId="0" xfId="4" applyFont="1" applyFill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44" fontId="11" fillId="0" borderId="0" xfId="2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3" fillId="2" borderId="0" xfId="0" applyFont="1" applyFill="1" applyAlignment="1" applyProtection="1">
      <alignment horizontal="center" vertical="center" wrapText="1"/>
      <protection hidden="1"/>
    </xf>
    <xf numFmtId="0" fontId="0" fillId="0" borderId="16" xfId="0" applyBorder="1" applyAlignment="1" applyProtection="1">
      <alignment wrapText="1"/>
      <protection hidden="1"/>
    </xf>
    <xf numFmtId="0" fontId="13" fillId="0" borderId="9" xfId="0" applyFont="1" applyBorder="1" applyAlignment="1" applyProtection="1">
      <alignment horizontal="right" vertical="center" wrapText="1"/>
      <protection hidden="1"/>
    </xf>
    <xf numFmtId="0" fontId="16" fillId="0" borderId="0" xfId="0" applyFont="1" applyProtection="1">
      <protection hidden="1"/>
    </xf>
    <xf numFmtId="0" fontId="0" fillId="0" borderId="16" xfId="0" applyBorder="1" applyAlignment="1" applyProtection="1">
      <alignment horizontal="left" vertical="center" wrapText="1"/>
      <protection hidden="1"/>
    </xf>
    <xf numFmtId="0" fontId="0" fillId="0" borderId="28" xfId="0" applyBorder="1" applyAlignment="1" applyProtection="1">
      <alignment horizontal="right" vertical="center"/>
      <protection hidden="1"/>
    </xf>
    <xf numFmtId="0" fontId="0" fillId="2" borderId="0" xfId="0" applyFill="1" applyProtection="1">
      <protection hidden="1"/>
    </xf>
    <xf numFmtId="0" fontId="0" fillId="0" borderId="8" xfId="0" applyBorder="1" applyAlignment="1" applyProtection="1">
      <alignment horizontal="left" vertical="center"/>
      <protection hidden="1"/>
    </xf>
    <xf numFmtId="0" fontId="0" fillId="0" borderId="9" xfId="0" applyBorder="1" applyAlignment="1" applyProtection="1">
      <alignment horizontal="right" vertical="center"/>
      <protection hidden="1"/>
    </xf>
    <xf numFmtId="0" fontId="0" fillId="0" borderId="30" xfId="0" applyBorder="1" applyProtection="1">
      <protection hidden="1"/>
    </xf>
    <xf numFmtId="0" fontId="13" fillId="0" borderId="11" xfId="0" applyFont="1" applyBorder="1" applyAlignment="1" applyProtection="1">
      <alignment horizontal="right" vertical="center" wrapText="1"/>
      <protection hidden="1"/>
    </xf>
    <xf numFmtId="0" fontId="0" fillId="0" borderId="30" xfId="0" applyBorder="1" applyAlignment="1" applyProtection="1">
      <alignment vertical="center"/>
      <protection hidden="1"/>
    </xf>
    <xf numFmtId="0" fontId="0" fillId="0" borderId="10" xfId="0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7" fillId="2" borderId="0" xfId="0" applyFont="1" applyFill="1" applyAlignment="1" applyProtection="1">
      <alignment horizontal="center" vertical="center" wrapText="1"/>
      <protection hidden="1"/>
    </xf>
    <xf numFmtId="0" fontId="0" fillId="0" borderId="30" xfId="0" applyBorder="1" applyAlignment="1" applyProtection="1">
      <alignment vertical="center" wrapText="1"/>
      <protection hidden="1"/>
    </xf>
    <xf numFmtId="0" fontId="0" fillId="0" borderId="13" xfId="0" applyBorder="1" applyAlignment="1" applyProtection="1">
      <alignment vertical="center" wrapText="1"/>
      <protection hidden="1"/>
    </xf>
    <xf numFmtId="44" fontId="1" fillId="0" borderId="14" xfId="2" applyFont="1" applyBorder="1" applyAlignment="1" applyProtection="1">
      <alignment vertical="center"/>
      <protection hidden="1"/>
    </xf>
    <xf numFmtId="0" fontId="2" fillId="0" borderId="24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wrapText="1"/>
      <protection hidden="1"/>
    </xf>
    <xf numFmtId="0" fontId="2" fillId="0" borderId="0" xfId="0" applyFont="1" applyAlignment="1" applyProtection="1">
      <alignment horizontal="center" wrapText="1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44" fontId="0" fillId="0" borderId="0" xfId="2" applyFont="1" applyBorder="1" applyProtection="1">
      <protection hidden="1"/>
    </xf>
    <xf numFmtId="0" fontId="0" fillId="0" borderId="20" xfId="0" applyBorder="1" applyAlignment="1" applyProtection="1">
      <alignment horizontal="center"/>
      <protection hidden="1"/>
    </xf>
    <xf numFmtId="0" fontId="2" fillId="0" borderId="0" xfId="0" applyFont="1" applyAlignment="1" applyProtection="1">
      <alignment wrapText="1"/>
      <protection hidden="1"/>
    </xf>
    <xf numFmtId="44" fontId="2" fillId="0" borderId="0" xfId="3" applyNumberFormat="1" applyFont="1" applyBorder="1" applyProtection="1">
      <protection hidden="1"/>
    </xf>
    <xf numFmtId="0" fontId="0" fillId="0" borderId="22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0" fillId="0" borderId="0" xfId="0" applyNumberFormat="1" applyProtection="1">
      <protection hidden="1"/>
    </xf>
    <xf numFmtId="44" fontId="0" fillId="0" borderId="0" xfId="2" applyFont="1" applyFill="1" applyBorder="1" applyProtection="1">
      <protection hidden="1"/>
    </xf>
    <xf numFmtId="44" fontId="0" fillId="2" borderId="0" xfId="2" applyFont="1" applyFill="1" applyBorder="1" applyProtection="1">
      <protection hidden="1"/>
    </xf>
    <xf numFmtId="0" fontId="13" fillId="0" borderId="0" xfId="0" applyFont="1" applyProtection="1">
      <protection hidden="1"/>
    </xf>
    <xf numFmtId="44" fontId="13" fillId="0" borderId="0" xfId="0" applyNumberFormat="1" applyFont="1" applyProtection="1">
      <protection hidden="1"/>
    </xf>
    <xf numFmtId="0" fontId="2" fillId="0" borderId="16" xfId="0" applyFont="1" applyBorder="1" applyAlignment="1" applyProtection="1">
      <alignment horizontal="right"/>
      <protection hidden="1"/>
    </xf>
    <xf numFmtId="0" fontId="2" fillId="0" borderId="17" xfId="0" applyFont="1" applyBorder="1" applyProtection="1">
      <protection hidden="1"/>
    </xf>
    <xf numFmtId="0" fontId="2" fillId="0" borderId="8" xfId="0" applyFont="1" applyBorder="1" applyProtection="1">
      <protection hidden="1"/>
    </xf>
    <xf numFmtId="44" fontId="2" fillId="0" borderId="28" xfId="2" applyFont="1" applyFill="1" applyBorder="1" applyProtection="1">
      <protection hidden="1"/>
    </xf>
    <xf numFmtId="44" fontId="2" fillId="0" borderId="0" xfId="2" applyFont="1" applyFill="1" applyBorder="1" applyProtection="1">
      <protection hidden="1"/>
    </xf>
    <xf numFmtId="44" fontId="2" fillId="2" borderId="0" xfId="2" applyFont="1" applyFill="1" applyBorder="1" applyProtection="1"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right"/>
      <protection hidden="1"/>
    </xf>
    <xf numFmtId="0" fontId="2" fillId="0" borderId="19" xfId="0" applyFont="1" applyBorder="1" applyProtection="1">
      <protection hidden="1"/>
    </xf>
    <xf numFmtId="44" fontId="2" fillId="0" borderId="0" xfId="2" applyFont="1" applyFill="1" applyBorder="1" applyAlignment="1" applyProtection="1">
      <alignment horizontal="center" vertical="center"/>
      <protection hidden="1"/>
    </xf>
    <xf numFmtId="44" fontId="2" fillId="2" borderId="0" xfId="2" applyFont="1" applyFill="1" applyBorder="1" applyAlignment="1" applyProtection="1">
      <alignment horizontal="center" vertical="center"/>
      <protection hidden="1"/>
    </xf>
    <xf numFmtId="0" fontId="7" fillId="0" borderId="21" xfId="0" applyFont="1" applyBorder="1" applyAlignment="1" applyProtection="1">
      <alignment horizontal="right" vertical="center"/>
      <protection hidden="1"/>
    </xf>
    <xf numFmtId="0" fontId="13" fillId="0" borderId="0" xfId="0" applyFont="1" applyAlignment="1" applyProtection="1">
      <alignment horizontal="center" wrapText="1"/>
      <protection hidden="1"/>
    </xf>
    <xf numFmtId="0" fontId="13" fillId="2" borderId="0" xfId="0" applyFont="1" applyFill="1" applyAlignment="1" applyProtection="1">
      <alignment horizontal="center" wrapText="1"/>
      <protection hidden="1"/>
    </xf>
    <xf numFmtId="0" fontId="0" fillId="0" borderId="8" xfId="0" applyBorder="1" applyAlignment="1" applyProtection="1">
      <alignment wrapText="1"/>
      <protection hidden="1"/>
    </xf>
    <xf numFmtId="9" fontId="0" fillId="0" borderId="0" xfId="0" applyNumberFormat="1" applyProtection="1">
      <protection hidden="1"/>
    </xf>
    <xf numFmtId="9" fontId="0" fillId="2" borderId="0" xfId="0" applyNumberFormat="1" applyFill="1" applyProtection="1">
      <protection hidden="1"/>
    </xf>
    <xf numFmtId="0" fontId="2" fillId="0" borderId="32" xfId="0" applyFont="1" applyBorder="1" applyAlignment="1" applyProtection="1">
      <alignment wrapText="1"/>
      <protection hidden="1"/>
    </xf>
    <xf numFmtId="44" fontId="2" fillId="0" borderId="33" xfId="0" applyNumberFormat="1" applyFont="1" applyBorder="1" applyProtection="1">
      <protection hidden="1"/>
    </xf>
    <xf numFmtId="44" fontId="2" fillId="0" borderId="0" xfId="0" applyNumberFormat="1" applyFont="1" applyProtection="1">
      <protection hidden="1"/>
    </xf>
    <xf numFmtId="44" fontId="2" fillId="2" borderId="0" xfId="0" applyNumberFormat="1" applyFont="1" applyFill="1" applyProtection="1">
      <protection hidden="1"/>
    </xf>
    <xf numFmtId="0" fontId="2" fillId="0" borderId="10" xfId="0" applyFont="1" applyBorder="1" applyAlignment="1" applyProtection="1">
      <alignment wrapText="1"/>
      <protection hidden="1"/>
    </xf>
    <xf numFmtId="10" fontId="2" fillId="0" borderId="11" xfId="3" applyNumberFormat="1" applyFont="1" applyBorder="1" applyProtection="1">
      <protection hidden="1"/>
    </xf>
    <xf numFmtId="0" fontId="12" fillId="0" borderId="0" xfId="0" applyFont="1" applyAlignment="1" applyProtection="1">
      <alignment horizontal="right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0" borderId="10" xfId="0" applyBorder="1" applyProtection="1">
      <protection hidden="1"/>
    </xf>
    <xf numFmtId="10" fontId="0" fillId="0" borderId="11" xfId="3" applyNumberFormat="1" applyFont="1" applyBorder="1" applyProtection="1">
      <protection hidden="1"/>
    </xf>
    <xf numFmtId="44" fontId="0" fillId="0" borderId="11" xfId="2" applyFont="1" applyBorder="1" applyProtection="1">
      <protection hidden="1"/>
    </xf>
    <xf numFmtId="0" fontId="0" fillId="0" borderId="10" xfId="0" applyBorder="1" applyAlignment="1" applyProtection="1">
      <alignment wrapText="1"/>
      <protection hidden="1"/>
    </xf>
    <xf numFmtId="44" fontId="0" fillId="0" borderId="11" xfId="0" applyNumberFormat="1" applyBorder="1" applyProtection="1">
      <protection hidden="1"/>
    </xf>
    <xf numFmtId="0" fontId="2" fillId="0" borderId="16" xfId="0" applyFont="1" applyBorder="1" applyAlignment="1" applyProtection="1">
      <alignment horizontal="right" vertical="center" wrapText="1"/>
      <protection hidden="1"/>
    </xf>
    <xf numFmtId="0" fontId="0" fillId="0" borderId="3" xfId="0" applyBorder="1" applyProtection="1">
      <protection hidden="1"/>
    </xf>
    <xf numFmtId="0" fontId="5" fillId="0" borderId="30" xfId="0" applyFont="1" applyBorder="1" applyAlignment="1" applyProtection="1">
      <alignment horizontal="right"/>
      <protection hidden="1"/>
    </xf>
    <xf numFmtId="44" fontId="2" fillId="0" borderId="11" xfId="3" applyNumberFormat="1" applyFont="1" applyBorder="1" applyProtection="1">
      <protection hidden="1"/>
    </xf>
    <xf numFmtId="0" fontId="13" fillId="0" borderId="10" xfId="0" applyFont="1" applyBorder="1" applyProtection="1">
      <protection hidden="1"/>
    </xf>
    <xf numFmtId="44" fontId="13" fillId="0" borderId="11" xfId="0" applyNumberFormat="1" applyFont="1" applyBorder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2" borderId="0" xfId="0" applyFont="1" applyFill="1" applyAlignment="1" applyProtection="1">
      <alignment horizontal="left"/>
      <protection hidden="1"/>
    </xf>
    <xf numFmtId="0" fontId="2" fillId="0" borderId="10" xfId="0" applyFont="1" applyBorder="1" applyProtection="1">
      <protection hidden="1"/>
    </xf>
    <xf numFmtId="44" fontId="2" fillId="0" borderId="11" xfId="0" applyNumberFormat="1" applyFont="1" applyBorder="1" applyProtection="1">
      <protection hidden="1"/>
    </xf>
    <xf numFmtId="43" fontId="0" fillId="0" borderId="0" xfId="1" applyFont="1" applyProtection="1">
      <protection hidden="1"/>
    </xf>
    <xf numFmtId="43" fontId="0" fillId="0" borderId="0" xfId="1" applyFont="1" applyFill="1" applyProtection="1">
      <protection hidden="1"/>
    </xf>
    <xf numFmtId="164" fontId="0" fillId="0" borderId="0" xfId="0" applyNumberFormat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3" fillId="0" borderId="0" xfId="0" applyFont="1" applyProtection="1">
      <protection hidden="1"/>
    </xf>
    <xf numFmtId="0" fontId="18" fillId="0" borderId="0" xfId="0" applyFont="1" applyProtection="1">
      <protection hidden="1"/>
    </xf>
    <xf numFmtId="43" fontId="7" fillId="3" borderId="24" xfId="1" applyFont="1" applyFill="1" applyBorder="1" applyAlignment="1">
      <alignment horizontal="center" vertical="center"/>
    </xf>
    <xf numFmtId="44" fontId="7" fillId="3" borderId="4" xfId="2" applyFont="1" applyFill="1" applyBorder="1" applyAlignment="1" applyProtection="1">
      <alignment vertical="center"/>
      <protection hidden="1"/>
    </xf>
    <xf numFmtId="0" fontId="7" fillId="3" borderId="7" xfId="0" applyFont="1" applyFill="1" applyBorder="1" applyAlignment="1">
      <alignment horizontal="center" vertical="center"/>
    </xf>
    <xf numFmtId="0" fontId="7" fillId="3" borderId="13" xfId="0" applyFont="1" applyFill="1" applyBorder="1" applyAlignment="1" applyProtection="1">
      <alignment horizontal="center" vertical="center" wrapText="1"/>
      <protection hidden="1"/>
    </xf>
    <xf numFmtId="44" fontId="7" fillId="3" borderId="14" xfId="2" applyFont="1" applyFill="1" applyBorder="1" applyAlignment="1" applyProtection="1">
      <alignment vertical="center"/>
      <protection hidden="1"/>
    </xf>
    <xf numFmtId="0" fontId="7" fillId="3" borderId="21" xfId="0" applyFont="1" applyFill="1" applyBorder="1" applyAlignment="1" applyProtection="1">
      <alignment horizontal="center" wrapText="1"/>
      <protection hidden="1"/>
    </xf>
    <xf numFmtId="44" fontId="7" fillId="3" borderId="27" xfId="0" applyNumberFormat="1" applyFont="1" applyFill="1" applyBorder="1" applyAlignment="1" applyProtection="1">
      <alignment vertical="center"/>
      <protection hidden="1"/>
    </xf>
    <xf numFmtId="0" fontId="7" fillId="3" borderId="18" xfId="0" applyFont="1" applyFill="1" applyBorder="1" applyAlignment="1" applyProtection="1">
      <alignment horizontal="center" vertical="center" wrapText="1"/>
      <protection hidden="1"/>
    </xf>
    <xf numFmtId="44" fontId="7" fillId="3" borderId="23" xfId="2" applyFont="1" applyFill="1" applyBorder="1" applyAlignment="1" applyProtection="1">
      <alignment vertical="center"/>
      <protection hidden="1"/>
    </xf>
    <xf numFmtId="44" fontId="7" fillId="3" borderId="23" xfId="2" applyFont="1" applyFill="1" applyBorder="1" applyAlignment="1" applyProtection="1">
      <alignment horizontal="center" vertical="center"/>
      <protection hidden="1"/>
    </xf>
    <xf numFmtId="0" fontId="7" fillId="3" borderId="39" xfId="0" applyFont="1" applyFill="1" applyBorder="1" applyAlignment="1" applyProtection="1">
      <alignment horizontal="center" vertical="center" wrapText="1"/>
      <protection hidden="1"/>
    </xf>
    <xf numFmtId="44" fontId="7" fillId="3" borderId="40" xfId="2" applyFont="1" applyFill="1" applyBorder="1" applyAlignment="1" applyProtection="1">
      <alignment vertical="center"/>
      <protection hidden="1"/>
    </xf>
    <xf numFmtId="0" fontId="6" fillId="3" borderId="1" xfId="0" applyFont="1" applyFill="1" applyBorder="1" applyAlignment="1" applyProtection="1">
      <alignment horizontal="center" vertical="center"/>
      <protection hidden="1"/>
    </xf>
    <xf numFmtId="44" fontId="0" fillId="0" borderId="9" xfId="0" applyNumberFormat="1" applyBorder="1" applyAlignment="1" applyProtection="1">
      <alignment horizontal="right" vertical="center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7" fillId="3" borderId="4" xfId="0" applyFont="1" applyFill="1" applyBorder="1" applyAlignment="1">
      <alignment horizontal="center" vertical="center"/>
    </xf>
    <xf numFmtId="0" fontId="5" fillId="0" borderId="46" xfId="0" applyFont="1" applyBorder="1"/>
    <xf numFmtId="0" fontId="19" fillId="0" borderId="45" xfId="0" applyFont="1" applyBorder="1" applyAlignment="1">
      <alignment horizontal="center" vertical="center"/>
    </xf>
    <xf numFmtId="0" fontId="7" fillId="0" borderId="11" xfId="0" applyFont="1" applyBorder="1" applyAlignment="1" applyProtection="1">
      <alignment horizontal="center" vertical="center"/>
      <protection locked="0"/>
    </xf>
    <xf numFmtId="10" fontId="12" fillId="0" borderId="0" xfId="0" applyNumberFormat="1" applyFont="1" applyProtection="1">
      <protection hidden="1"/>
    </xf>
    <xf numFmtId="0" fontId="7" fillId="4" borderId="39" xfId="0" applyFont="1" applyFill="1" applyBorder="1" applyAlignment="1" applyProtection="1">
      <alignment horizontal="center" vertical="center" wrapText="1"/>
      <protection hidden="1"/>
    </xf>
    <xf numFmtId="44" fontId="7" fillId="4" borderId="40" xfId="2" applyFont="1" applyFill="1" applyBorder="1" applyAlignment="1" applyProtection="1">
      <alignment vertical="center"/>
      <protection hidden="1"/>
    </xf>
    <xf numFmtId="0" fontId="5" fillId="0" borderId="13" xfId="0" applyFont="1" applyBorder="1" applyAlignment="1" applyProtection="1">
      <alignment horizontal="left" vertical="center" wrapText="1"/>
      <protection hidden="1"/>
    </xf>
    <xf numFmtId="44" fontId="5" fillId="0" borderId="14" xfId="2" applyFont="1" applyFill="1" applyBorder="1" applyAlignment="1" applyProtection="1">
      <alignment vertical="center"/>
      <protection hidden="1"/>
    </xf>
    <xf numFmtId="0" fontId="13" fillId="0" borderId="10" xfId="0" applyFont="1" applyBorder="1" applyAlignment="1" applyProtection="1">
      <alignment vertical="center" wrapText="1"/>
      <protection hidden="1"/>
    </xf>
    <xf numFmtId="9" fontId="13" fillId="0" borderId="11" xfId="3" applyFont="1" applyBorder="1" applyAlignment="1" applyProtection="1">
      <alignment vertical="center"/>
      <protection hidden="1"/>
    </xf>
    <xf numFmtId="0" fontId="13" fillId="0" borderId="41" xfId="0" applyFont="1" applyBorder="1" applyAlignment="1" applyProtection="1">
      <alignment vertical="center" wrapText="1"/>
      <protection hidden="1"/>
    </xf>
    <xf numFmtId="9" fontId="0" fillId="0" borderId="47" xfId="3" applyFont="1" applyBorder="1" applyAlignment="1" applyProtection="1">
      <alignment horizontal="right" vertical="center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165" fontId="7" fillId="0" borderId="11" xfId="0" applyNumberFormat="1" applyFont="1" applyBorder="1" applyAlignment="1" applyProtection="1">
      <alignment horizontal="center" vertical="center"/>
      <protection locked="0"/>
    </xf>
    <xf numFmtId="0" fontId="7" fillId="4" borderId="38" xfId="0" applyFont="1" applyFill="1" applyBorder="1" applyAlignment="1">
      <alignment wrapText="1"/>
    </xf>
    <xf numFmtId="0" fontId="20" fillId="0" borderId="0" xfId="0" applyFont="1" applyAlignment="1">
      <alignment horizontal="center" vertical="center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7" fillId="0" borderId="48" xfId="2" applyNumberFormat="1" applyFont="1" applyFill="1" applyBorder="1" applyAlignment="1" applyProtection="1">
      <alignment horizontal="center" vertical="center"/>
      <protection hidden="1"/>
    </xf>
    <xf numFmtId="165" fontId="13" fillId="0" borderId="11" xfId="1" applyNumberFormat="1" applyFont="1" applyBorder="1" applyAlignment="1" applyProtection="1">
      <alignment horizontal="right" vertical="center" wrapText="1"/>
      <protection hidden="1"/>
    </xf>
    <xf numFmtId="0" fontId="0" fillId="0" borderId="42" xfId="0" applyBorder="1" applyAlignment="1" applyProtection="1">
      <alignment horizontal="left" vertical="center"/>
      <protection hidden="1"/>
    </xf>
    <xf numFmtId="44" fontId="0" fillId="0" borderId="49" xfId="0" applyNumberFormat="1" applyBorder="1" applyAlignment="1" applyProtection="1">
      <alignment horizontal="right" vertical="center"/>
      <protection hidden="1"/>
    </xf>
    <xf numFmtId="0" fontId="7" fillId="3" borderId="1" xfId="0" applyFont="1" applyFill="1" applyBorder="1" applyAlignment="1" applyProtection="1">
      <alignment horizontal="center" vertical="center" wrapText="1"/>
      <protection hidden="1"/>
    </xf>
    <xf numFmtId="165" fontId="7" fillId="3" borderId="3" xfId="1" applyNumberFormat="1" applyFont="1" applyFill="1" applyBorder="1" applyAlignment="1" applyProtection="1">
      <alignment horizontal="center" vertical="center" wrapText="1"/>
      <protection hidden="1"/>
    </xf>
    <xf numFmtId="0" fontId="7" fillId="3" borderId="7" xfId="0" applyFont="1" applyFill="1" applyBorder="1" applyAlignment="1">
      <alignment horizontal="center" vertical="center" wrapText="1"/>
    </xf>
    <xf numFmtId="0" fontId="5" fillId="0" borderId="32" xfId="0" applyFont="1" applyBorder="1" applyAlignment="1" applyProtection="1">
      <alignment horizontal="left" vertical="center" wrapText="1"/>
      <protection hidden="1"/>
    </xf>
    <xf numFmtId="44" fontId="5" fillId="0" borderId="33" xfId="2" applyFont="1" applyFill="1" applyBorder="1" applyAlignment="1" applyProtection="1">
      <alignment vertical="center"/>
      <protection hidden="1"/>
    </xf>
    <xf numFmtId="0" fontId="5" fillId="0" borderId="9" xfId="2" applyNumberFormat="1" applyFont="1" applyFill="1" applyBorder="1" applyAlignment="1" applyProtection="1">
      <alignment horizontal="center" vertical="center"/>
      <protection hidden="1"/>
    </xf>
    <xf numFmtId="0" fontId="23" fillId="0" borderId="0" xfId="0" applyFont="1"/>
    <xf numFmtId="0" fontId="7" fillId="0" borderId="0" xfId="0" applyFont="1"/>
    <xf numFmtId="0" fontId="17" fillId="4" borderId="0" xfId="0" applyFont="1" applyFill="1"/>
    <xf numFmtId="0" fontId="5" fillId="0" borderId="48" xfId="2" applyNumberFormat="1" applyFont="1" applyFill="1" applyBorder="1" applyAlignment="1" applyProtection="1">
      <alignment horizontal="center" vertical="center"/>
      <protection hidden="1"/>
    </xf>
    <xf numFmtId="0" fontId="5" fillId="0" borderId="34" xfId="0" applyFont="1" applyBorder="1" applyAlignment="1" applyProtection="1">
      <alignment horizontal="left" vertical="center" wrapText="1"/>
      <protection hidden="1"/>
    </xf>
    <xf numFmtId="44" fontId="5" fillId="0" borderId="0" xfId="0" applyNumberFormat="1" applyFont="1"/>
    <xf numFmtId="0" fontId="5" fillId="0" borderId="51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23" fillId="0" borderId="36" xfId="0" applyFont="1" applyBorder="1"/>
    <xf numFmtId="0" fontId="23" fillId="0" borderId="16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" fillId="0" borderId="7" xfId="0" applyFont="1" applyBorder="1" applyAlignment="1" applyProtection="1">
      <alignment horizontal="center"/>
      <protection hidden="1"/>
    </xf>
    <xf numFmtId="0" fontId="2" fillId="0" borderId="34" xfId="0" applyFont="1" applyBorder="1" applyAlignment="1" applyProtection="1">
      <alignment horizontal="center"/>
      <protection hidden="1"/>
    </xf>
    <xf numFmtId="0" fontId="7" fillId="0" borderId="35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0" fillId="0" borderId="16" xfId="0" applyBorder="1" applyAlignment="1" applyProtection="1">
      <alignment horizontal="center"/>
      <protection hidden="1"/>
    </xf>
    <xf numFmtId="0" fontId="0" fillId="0" borderId="30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24" fillId="0" borderId="44" xfId="0" applyFont="1" applyBorder="1" applyAlignment="1">
      <alignment horizontal="center" vertical="center"/>
    </xf>
    <xf numFmtId="0" fontId="5" fillId="0" borderId="30" xfId="0" applyFont="1" applyBorder="1" applyAlignment="1" applyProtection="1">
      <alignment horizontal="right" vertical="center"/>
      <protection hidden="1"/>
    </xf>
    <xf numFmtId="2" fontId="7" fillId="0" borderId="29" xfId="1" applyNumberFormat="1" applyFont="1" applyBorder="1" applyAlignment="1" applyProtection="1">
      <alignment vertical="center"/>
      <protection hidden="1"/>
    </xf>
    <xf numFmtId="43" fontId="5" fillId="0" borderId="18" xfId="1" applyFont="1" applyBorder="1" applyAlignment="1" applyProtection="1">
      <alignment horizontal="right" vertical="center"/>
      <protection hidden="1"/>
    </xf>
    <xf numFmtId="43" fontId="5" fillId="0" borderId="23" xfId="1" applyFont="1" applyBorder="1" applyAlignment="1" applyProtection="1">
      <alignment vertical="center"/>
      <protection hidden="1"/>
    </xf>
    <xf numFmtId="43" fontId="7" fillId="3" borderId="1" xfId="1" applyFont="1" applyFill="1" applyBorder="1" applyAlignment="1" applyProtection="1">
      <alignment horizontal="right" vertical="center"/>
      <protection hidden="1"/>
    </xf>
    <xf numFmtId="0" fontId="25" fillId="0" borderId="0" xfId="0" applyFont="1"/>
    <xf numFmtId="44" fontId="25" fillId="0" borderId="0" xfId="0" applyNumberFormat="1" applyFont="1"/>
    <xf numFmtId="0" fontId="7" fillId="0" borderId="56" xfId="0" applyFont="1" applyBorder="1" applyAlignment="1">
      <alignment wrapText="1"/>
    </xf>
    <xf numFmtId="0" fontId="7" fillId="4" borderId="57" xfId="0" applyFont="1" applyFill="1" applyBorder="1" applyAlignment="1">
      <alignment wrapText="1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58" xfId="0" applyFont="1" applyBorder="1" applyAlignment="1">
      <alignment wrapText="1"/>
    </xf>
    <xf numFmtId="0" fontId="7" fillId="0" borderId="59" xfId="0" applyFont="1" applyBorder="1" applyAlignment="1">
      <alignment wrapText="1"/>
    </xf>
    <xf numFmtId="165" fontId="7" fillId="0" borderId="14" xfId="0" applyNumberFormat="1" applyFont="1" applyBorder="1" applyAlignment="1" applyProtection="1">
      <alignment horizontal="center" vertical="center"/>
      <protection locked="0"/>
    </xf>
    <xf numFmtId="44" fontId="7" fillId="3" borderId="7" xfId="2" applyFont="1" applyFill="1" applyBorder="1" applyAlignment="1" applyProtection="1">
      <alignment vertical="center"/>
      <protection hidden="1"/>
    </xf>
    <xf numFmtId="2" fontId="25" fillId="0" borderId="0" xfId="0" applyNumberFormat="1" applyFont="1"/>
    <xf numFmtId="0" fontId="7" fillId="0" borderId="0" xfId="0" applyFont="1" applyAlignment="1">
      <alignment horizontal="center" vertical="center"/>
    </xf>
    <xf numFmtId="10" fontId="7" fillId="0" borderId="11" xfId="3" applyNumberFormat="1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  <xf numFmtId="165" fontId="7" fillId="0" borderId="9" xfId="0" applyNumberFormat="1" applyFont="1" applyBorder="1" applyAlignment="1" applyProtection="1">
      <alignment horizontal="center" vertical="center"/>
      <protection locked="0"/>
    </xf>
    <xf numFmtId="165" fontId="7" fillId="0" borderId="11" xfId="1" applyNumberFormat="1" applyFont="1" applyBorder="1" applyAlignment="1" applyProtection="1">
      <alignment horizontal="center" vertical="center"/>
      <protection locked="0"/>
    </xf>
    <xf numFmtId="44" fontId="7" fillId="3" borderId="7" xfId="0" applyNumberFormat="1" applyFont="1" applyFill="1" applyBorder="1" applyAlignment="1" applyProtection="1">
      <alignment vertical="center"/>
      <protection hidden="1"/>
    </xf>
    <xf numFmtId="44" fontId="7" fillId="3" borderId="43" xfId="0" applyNumberFormat="1" applyFont="1" applyFill="1" applyBorder="1" applyAlignment="1" applyProtection="1">
      <alignment vertical="center"/>
      <protection hidden="1"/>
    </xf>
    <xf numFmtId="44" fontId="19" fillId="0" borderId="36" xfId="0" applyNumberFormat="1" applyFont="1" applyBorder="1" applyAlignment="1" applyProtection="1">
      <alignment vertical="center"/>
      <protection hidden="1"/>
    </xf>
    <xf numFmtId="0" fontId="7" fillId="3" borderId="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3" borderId="24" xfId="0" applyFont="1" applyFill="1" applyBorder="1" applyAlignment="1" applyProtection="1">
      <alignment horizontal="center" vertical="center"/>
      <protection hidden="1"/>
    </xf>
    <xf numFmtId="0" fontId="7" fillId="3" borderId="6" xfId="0" applyFont="1" applyFill="1" applyBorder="1" applyAlignment="1" applyProtection="1">
      <alignment horizontal="center" vertical="center"/>
      <protection hidden="1"/>
    </xf>
    <xf numFmtId="0" fontId="7" fillId="3" borderId="36" xfId="0" applyFont="1" applyFill="1" applyBorder="1" applyAlignment="1" applyProtection="1">
      <alignment horizontal="center" vertical="center"/>
      <protection hidden="1"/>
    </xf>
    <xf numFmtId="0" fontId="7" fillId="3" borderId="37" xfId="0" applyFont="1" applyFill="1" applyBorder="1" applyAlignment="1" applyProtection="1">
      <alignment horizontal="center" vertical="center"/>
      <protection hidden="1"/>
    </xf>
    <xf numFmtId="0" fontId="7" fillId="3" borderId="24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2" fontId="2" fillId="0" borderId="4" xfId="0" applyNumberFormat="1" applyFont="1" applyBorder="1" applyAlignment="1" applyProtection="1">
      <alignment horizontal="center" vertical="center"/>
      <protection hidden="1"/>
    </xf>
    <xf numFmtId="2" fontId="2" fillId="0" borderId="12" xfId="0" applyNumberFormat="1" applyFont="1" applyBorder="1" applyAlignment="1" applyProtection="1">
      <alignment horizontal="center" vertical="center"/>
      <protection hidden="1"/>
    </xf>
    <xf numFmtId="2" fontId="2" fillId="0" borderId="15" xfId="0" applyNumberFormat="1" applyFont="1" applyBorder="1" applyAlignment="1" applyProtection="1">
      <alignment horizontal="center" vertical="center"/>
      <protection hidden="1"/>
    </xf>
    <xf numFmtId="0" fontId="7" fillId="3" borderId="21" xfId="0" applyFont="1" applyFill="1" applyBorder="1" applyAlignment="1" applyProtection="1">
      <alignment horizontal="center" vertical="center"/>
      <protection hidden="1"/>
    </xf>
    <xf numFmtId="0" fontId="7" fillId="3" borderId="27" xfId="0" applyFont="1" applyFill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3" xfId="0" applyFont="1" applyBorder="1" applyAlignment="1" applyProtection="1">
      <alignment horizontal="center" vertical="center" wrapText="1"/>
      <protection hidden="1"/>
    </xf>
    <xf numFmtId="44" fontId="2" fillId="0" borderId="26" xfId="2" applyFont="1" applyFill="1" applyBorder="1" applyAlignment="1" applyProtection="1">
      <alignment horizontal="center" vertical="center"/>
      <protection hidden="1"/>
    </xf>
    <xf numFmtId="44" fontId="2" fillId="0" borderId="27" xfId="2" applyFont="1" applyFill="1" applyBorder="1" applyAlignment="1" applyProtection="1">
      <alignment horizontal="center" vertical="center"/>
      <protection hidden="1"/>
    </xf>
    <xf numFmtId="0" fontId="13" fillId="0" borderId="34" xfId="0" applyFont="1" applyBorder="1" applyAlignment="1" applyProtection="1">
      <alignment horizontal="center" vertical="center" wrapText="1"/>
      <protection hidden="1"/>
    </xf>
    <xf numFmtId="0" fontId="13" fillId="0" borderId="35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7" fillId="3" borderId="6" xfId="0" applyFont="1" applyFill="1" applyBorder="1" applyAlignment="1" applyProtection="1">
      <alignment horizontal="center" vertical="center" wrapText="1"/>
      <protection hidden="1"/>
    </xf>
    <xf numFmtId="0" fontId="7" fillId="3" borderId="21" xfId="0" applyFont="1" applyFill="1" applyBorder="1" applyAlignment="1" applyProtection="1">
      <alignment horizontal="center" vertical="center" wrapText="1"/>
      <protection hidden="1"/>
    </xf>
    <xf numFmtId="0" fontId="7" fillId="3" borderId="27" xfId="0" applyFont="1" applyFill="1" applyBorder="1" applyAlignment="1" applyProtection="1">
      <alignment horizontal="center" vertical="center" wrapText="1"/>
      <protection hidden="1"/>
    </xf>
    <xf numFmtId="0" fontId="15" fillId="0" borderId="0" xfId="4" applyFont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2" fillId="0" borderId="50" xfId="0" applyFont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/>
      <protection hidden="1"/>
    </xf>
  </cellXfs>
  <cellStyles count="5">
    <cellStyle name="Lien hypertexte" xfId="4" builtinId="8"/>
    <cellStyle name="Milliers" xfId="1" builtinId="3"/>
    <cellStyle name="Monétaire" xfId="2" builtinId="4"/>
    <cellStyle name="Normal" xfId="0" builtinId="0"/>
    <cellStyle name="Pourcentage" xfId="3" builtinId="5"/>
  </cellStyles>
  <dxfs count="0"/>
  <tableStyles count="0" defaultTableStyle="TableStyleMedium2" defaultPivotStyle="PivotStyleLight16"/>
  <colors>
    <mruColors>
      <color rgb="FF009999"/>
      <color rgb="FF66FFFF"/>
      <color rgb="FF33CCCC"/>
      <color rgb="FFFF99CC"/>
      <color rgb="FFFF66CC"/>
      <color rgb="FFFF33CC"/>
      <color rgb="FFFF66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</xdr:rowOff>
    </xdr:from>
    <xdr:to>
      <xdr:col>6</xdr:col>
      <xdr:colOff>9525</xdr:colOff>
      <xdr:row>1</xdr:row>
      <xdr:rowOff>219312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22B0AF7-E1F4-43FB-8234-64A9D40D8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34000"/>
        </a:blip>
        <a:stretch>
          <a:fillRect/>
        </a:stretch>
      </xdr:blipFill>
      <xdr:spPr>
        <a:xfrm>
          <a:off x="0" y="6350"/>
          <a:ext cx="8477250" cy="3118087"/>
        </a:xfrm>
        <a:prstGeom prst="rect">
          <a:avLst/>
        </a:prstGeom>
        <a:effectLst>
          <a:glow>
            <a:schemeClr val="bg1"/>
          </a:glow>
          <a:outerShdw blurRad="50800" dist="50800" dir="5400000" algn="ctr" rotWithShape="0">
            <a:srgbClr val="000000">
              <a:alpha val="15000"/>
            </a:srgbClr>
          </a:outerShdw>
          <a:reflection endPos="0" dist="1016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909308</xdr:colOff>
      <xdr:row>0</xdr:row>
      <xdr:rowOff>2351485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351C91B-25A2-461C-96F3-A26960F0D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34000"/>
        </a:blip>
        <a:stretch>
          <a:fillRect/>
        </a:stretch>
      </xdr:blipFill>
      <xdr:spPr>
        <a:xfrm>
          <a:off x="0" y="0"/>
          <a:ext cx="6381421" cy="2351485"/>
        </a:xfrm>
        <a:prstGeom prst="rect">
          <a:avLst/>
        </a:prstGeom>
        <a:effectLst>
          <a:glow>
            <a:schemeClr val="bg1"/>
          </a:glow>
          <a:outerShdw blurRad="50800" dist="50800" dir="5400000" algn="ctr" rotWithShape="0">
            <a:srgbClr val="000000">
              <a:alpha val="15000"/>
            </a:srgbClr>
          </a:outerShdw>
          <a:reflection endPos="0" dist="101600" dir="5400000" sy="-100000" algn="bl" rotWithShape="0"/>
        </a:effectLst>
      </xdr:spPr>
    </xdr:pic>
    <xdr:clientData/>
  </xdr:twoCellAnchor>
  <xdr:twoCellAnchor editAs="oneCell">
    <xdr:from>
      <xdr:col>6</xdr:col>
      <xdr:colOff>41672</xdr:colOff>
      <xdr:row>0</xdr:row>
      <xdr:rowOff>0</xdr:rowOff>
    </xdr:from>
    <xdr:to>
      <xdr:col>12</xdr:col>
      <xdr:colOff>1572431</xdr:colOff>
      <xdr:row>0</xdr:row>
      <xdr:rowOff>2351485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D66ED14-26AB-4E1A-A8C5-B8ED7806B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34000"/>
        </a:blip>
        <a:stretch>
          <a:fillRect/>
        </a:stretch>
      </xdr:blipFill>
      <xdr:spPr>
        <a:xfrm>
          <a:off x="6709172" y="0"/>
          <a:ext cx="6388509" cy="2351485"/>
        </a:xfrm>
        <a:prstGeom prst="rect">
          <a:avLst/>
        </a:prstGeom>
        <a:effectLst>
          <a:glow>
            <a:schemeClr val="bg1"/>
          </a:glow>
          <a:outerShdw blurRad="50800" dist="50800" dir="5400000" algn="ctr" rotWithShape="0">
            <a:srgbClr val="000000">
              <a:alpha val="15000"/>
            </a:srgbClr>
          </a:outerShdw>
          <a:reflection endPos="0" dist="101600" dir="5400000" sy="-100000" algn="bl" rotWithShape="0"/>
        </a:effectLst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20</xdr:col>
      <xdr:colOff>161541</xdr:colOff>
      <xdr:row>0</xdr:row>
      <xdr:rowOff>2351485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B9D6FA4-06E5-4F44-AFBC-8EC1459CE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34000"/>
        </a:blip>
        <a:stretch>
          <a:fillRect/>
        </a:stretch>
      </xdr:blipFill>
      <xdr:spPr>
        <a:xfrm>
          <a:off x="13620750" y="0"/>
          <a:ext cx="6388509" cy="2351485"/>
        </a:xfrm>
        <a:prstGeom prst="rect">
          <a:avLst/>
        </a:prstGeom>
        <a:effectLst>
          <a:glow>
            <a:schemeClr val="bg1"/>
          </a:glow>
          <a:outerShdw blurRad="50800" dist="50800" dir="5400000" algn="ctr" rotWithShape="0">
            <a:srgbClr val="000000">
              <a:alpha val="15000"/>
            </a:srgbClr>
          </a:outerShdw>
          <a:reflection endPos="0" dist="1016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CC02-C194-4746-B46B-AD52C8992E4C}">
  <dimension ref="A1:M45"/>
  <sheetViews>
    <sheetView topLeftCell="A11" zoomScaleNormal="100" workbookViewId="0">
      <selection activeCell="F10" sqref="F10"/>
    </sheetView>
  </sheetViews>
  <sheetFormatPr defaultColWidth="11.42578125" defaultRowHeight="18.75"/>
  <cols>
    <col min="1" max="1" width="14.140625" style="16" bestFit="1" customWidth="1"/>
    <col min="2" max="2" width="30.85546875" style="21" customWidth="1"/>
    <col min="3" max="3" width="18.140625" style="198" bestFit="1" customWidth="1"/>
    <col min="4" max="4" width="7" style="16" bestFit="1" customWidth="1"/>
    <col min="5" max="5" width="39" style="22" customWidth="1"/>
    <col min="6" max="6" width="17.85546875" style="22" bestFit="1" customWidth="1"/>
    <col min="7" max="7" width="11.42578125" style="16"/>
    <col min="8" max="8" width="14.85546875" style="16" bestFit="1" customWidth="1"/>
    <col min="9" max="9" width="17.85546875" style="16" bestFit="1" customWidth="1"/>
    <col min="10" max="10" width="11.42578125" style="16"/>
    <col min="11" max="11" width="17.85546875" style="16" bestFit="1" customWidth="1"/>
    <col min="12" max="12" width="11.42578125" style="16"/>
    <col min="13" max="13" width="17.85546875" style="16" bestFit="1" customWidth="1"/>
    <col min="14" max="16384" width="11.42578125" style="16"/>
  </cols>
  <sheetData>
    <row r="1" spans="1:13" ht="228.75" customHeight="1"/>
    <row r="2" spans="1:13" ht="19.5" thickBot="1">
      <c r="H2" s="188"/>
      <c r="I2" s="188"/>
    </row>
    <row r="3" spans="1:13" ht="19.5" thickBot="1">
      <c r="A3" s="213" t="s">
        <v>0</v>
      </c>
      <c r="B3" s="214"/>
      <c r="C3" s="215"/>
      <c r="E3" s="206" t="s">
        <v>1</v>
      </c>
      <c r="F3" s="207"/>
      <c r="H3" s="188"/>
      <c r="I3" s="188"/>
    </row>
    <row r="4" spans="1:13" ht="38.25" thickBot="1">
      <c r="A4" s="216" t="s">
        <v>2</v>
      </c>
      <c r="B4" s="20" t="s">
        <v>3</v>
      </c>
      <c r="C4" s="135" t="s">
        <v>4</v>
      </c>
      <c r="E4" s="117" t="s">
        <v>5</v>
      </c>
      <c r="F4" s="118">
        <f>'Simulateur calcul'!B22</f>
        <v>353074.65100000001</v>
      </c>
      <c r="H4" s="197"/>
      <c r="I4" s="189"/>
      <c r="K4" s="165"/>
      <c r="M4" s="165"/>
    </row>
    <row r="5" spans="1:13" ht="16.5" customHeight="1" thickBot="1">
      <c r="A5" s="217"/>
      <c r="B5" s="20" t="s">
        <v>6</v>
      </c>
      <c r="C5" s="135">
        <v>60</v>
      </c>
      <c r="E5" s="119" t="s">
        <v>7</v>
      </c>
      <c r="F5" s="203">
        <f>'Simulateur calcul'!I7</f>
        <v>8059.1920200000004</v>
      </c>
      <c r="H5" s="197"/>
      <c r="I5" s="189"/>
      <c r="K5" s="165"/>
      <c r="M5" s="165"/>
    </row>
    <row r="6" spans="1:13" ht="19.5" thickBot="1">
      <c r="A6" s="217"/>
      <c r="B6" s="20" t="s">
        <v>8</v>
      </c>
      <c r="C6" s="199">
        <v>0.98650000000000004</v>
      </c>
      <c r="E6" s="119" t="s">
        <v>9</v>
      </c>
      <c r="F6" s="203">
        <f>'Simulateur calcul'!N7</f>
        <v>5963.8020948000003</v>
      </c>
      <c r="H6" s="197"/>
      <c r="I6" s="189"/>
      <c r="K6" s="165"/>
      <c r="M6" s="165"/>
    </row>
    <row r="7" spans="1:13" ht="38.25" thickBot="1">
      <c r="A7" s="217"/>
      <c r="B7" s="20" t="s">
        <v>10</v>
      </c>
      <c r="C7" s="135">
        <v>111</v>
      </c>
      <c r="E7" s="119" t="s">
        <v>11</v>
      </c>
      <c r="F7" s="203">
        <f>'Simulateur calcul'!I18</f>
        <v>0</v>
      </c>
      <c r="H7" s="197"/>
      <c r="I7" s="189"/>
      <c r="K7" s="165"/>
      <c r="M7" s="165"/>
    </row>
    <row r="8" spans="1:13" ht="38.25" thickBot="1">
      <c r="A8" s="217"/>
      <c r="B8" s="20" t="s">
        <v>12</v>
      </c>
      <c r="C8" s="135">
        <v>66214</v>
      </c>
      <c r="E8" s="119" t="s">
        <v>13</v>
      </c>
      <c r="F8" s="203">
        <f>'Simulateur calcul'!N24</f>
        <v>1983.0540540540539</v>
      </c>
      <c r="H8" s="197"/>
      <c r="I8" s="189"/>
      <c r="K8" s="165"/>
      <c r="M8" s="165"/>
    </row>
    <row r="9" spans="1:13" ht="38.25" thickBot="1">
      <c r="A9" s="217"/>
      <c r="B9" s="20" t="s">
        <v>14</v>
      </c>
      <c r="C9" s="135">
        <v>69525</v>
      </c>
      <c r="E9" s="156" t="s">
        <v>15</v>
      </c>
      <c r="F9" s="203">
        <f>'Simulateur calcul'!S7</f>
        <v>0</v>
      </c>
      <c r="H9" s="197"/>
      <c r="I9" s="189"/>
      <c r="K9" s="165"/>
      <c r="M9" s="165"/>
    </row>
    <row r="10" spans="1:13" ht="38.25" thickBot="1">
      <c r="A10" s="217"/>
      <c r="B10" s="20" t="s">
        <v>16</v>
      </c>
      <c r="C10" s="135">
        <v>2</v>
      </c>
      <c r="E10" s="132" t="s">
        <v>17</v>
      </c>
      <c r="F10" s="204">
        <f>'Simulateur calcul'!S28</f>
        <v>175863.44083114591</v>
      </c>
      <c r="H10" s="197"/>
      <c r="I10" s="189"/>
      <c r="K10" s="165"/>
      <c r="M10" s="165"/>
    </row>
    <row r="11" spans="1:13" ht="38.25" thickBot="1">
      <c r="A11" s="217"/>
      <c r="B11" s="190" t="s">
        <v>18</v>
      </c>
      <c r="C11" s="200">
        <v>2</v>
      </c>
      <c r="E11" s="134" t="s">
        <v>19</v>
      </c>
      <c r="F11" s="205">
        <f>SUM(F4:F10)</f>
        <v>544944.14</v>
      </c>
      <c r="G11" s="133"/>
      <c r="H11" s="188"/>
      <c r="I11" s="189"/>
      <c r="K11" s="165"/>
      <c r="M11" s="165"/>
    </row>
    <row r="12" spans="1:13" ht="37.5">
      <c r="A12" s="208" t="s">
        <v>20</v>
      </c>
      <c r="B12" s="193" t="s">
        <v>21</v>
      </c>
      <c r="C12" s="201">
        <v>115412.86</v>
      </c>
      <c r="F12" s="182" t="str">
        <f>IF(F11+C12+C13=(C14*90/100),"OK","KO")</f>
        <v>OK</v>
      </c>
    </row>
    <row r="13" spans="1:13" ht="37.5">
      <c r="A13" s="209"/>
      <c r="B13" s="20" t="s">
        <v>22</v>
      </c>
      <c r="C13" s="202">
        <v>0</v>
      </c>
      <c r="F13" s="148"/>
    </row>
    <row r="14" spans="1:13" ht="50.25" thickBot="1">
      <c r="A14" s="210"/>
      <c r="B14" s="194" t="s">
        <v>23</v>
      </c>
      <c r="C14" s="195">
        <v>733730</v>
      </c>
      <c r="F14" s="148"/>
    </row>
    <row r="15" spans="1:13" ht="89.25">
      <c r="A15" s="217" t="s">
        <v>24</v>
      </c>
      <c r="B15" s="191" t="s">
        <v>25</v>
      </c>
      <c r="C15" s="192">
        <v>55</v>
      </c>
    </row>
    <row r="16" spans="1:13" ht="70.5">
      <c r="A16" s="217"/>
      <c r="B16" s="147" t="s">
        <v>26</v>
      </c>
      <c r="C16" s="135">
        <v>0</v>
      </c>
    </row>
    <row r="17" spans="1:3" ht="75">
      <c r="A17" s="217"/>
      <c r="B17" s="147" t="s">
        <v>27</v>
      </c>
      <c r="C17" s="146">
        <v>1700</v>
      </c>
    </row>
    <row r="18" spans="1:3" ht="37.5">
      <c r="A18" s="218"/>
      <c r="B18" s="147" t="s">
        <v>28</v>
      </c>
      <c r="C18" s="135">
        <v>9</v>
      </c>
    </row>
    <row r="19" spans="1:3">
      <c r="A19" s="211" t="s">
        <v>29</v>
      </c>
      <c r="B19" s="212"/>
      <c r="C19" s="135" t="s">
        <v>30</v>
      </c>
    </row>
    <row r="20" spans="1:3">
      <c r="A20" s="211" t="s">
        <v>31</v>
      </c>
      <c r="B20" s="212"/>
      <c r="C20" s="135" t="s">
        <v>32</v>
      </c>
    </row>
    <row r="21" spans="1:3">
      <c r="A21" s="19" t="s">
        <v>4</v>
      </c>
    </row>
    <row r="22" spans="1:3">
      <c r="A22" s="19" t="s">
        <v>32</v>
      </c>
    </row>
    <row r="24" spans="1:3">
      <c r="A24" s="19"/>
    </row>
    <row r="25" spans="1:3">
      <c r="A25" s="19"/>
    </row>
    <row r="26" spans="1:3">
      <c r="A26" s="19"/>
    </row>
    <row r="27" spans="1:3">
      <c r="A27" s="19"/>
    </row>
    <row r="28" spans="1:3">
      <c r="A28" s="19" t="s">
        <v>33</v>
      </c>
    </row>
    <row r="29" spans="1:3">
      <c r="A29" s="19" t="s">
        <v>30</v>
      </c>
    </row>
    <row r="30" spans="1:3">
      <c r="A30" s="162" t="s">
        <v>34</v>
      </c>
      <c r="B30" s="161"/>
      <c r="C30" s="22"/>
    </row>
    <row r="31" spans="1:3">
      <c r="A31" s="162">
        <v>1</v>
      </c>
      <c r="B31" s="161"/>
      <c r="C31" s="22"/>
    </row>
    <row r="32" spans="1:3">
      <c r="A32" s="162">
        <v>2</v>
      </c>
      <c r="B32" s="161"/>
      <c r="C32" s="22"/>
    </row>
    <row r="33" spans="1:3">
      <c r="A33" s="162">
        <v>3</v>
      </c>
      <c r="B33" s="161"/>
      <c r="C33" s="22"/>
    </row>
    <row r="34" spans="1:3">
      <c r="A34" s="162">
        <v>4</v>
      </c>
      <c r="B34" s="161"/>
      <c r="C34" s="22"/>
    </row>
    <row r="35" spans="1:3">
      <c r="A35" s="162">
        <v>5</v>
      </c>
      <c r="B35" s="161"/>
      <c r="C35" s="22"/>
    </row>
    <row r="36" spans="1:3">
      <c r="A36" s="162">
        <v>6</v>
      </c>
      <c r="B36" s="161"/>
      <c r="C36" s="22"/>
    </row>
    <row r="37" spans="1:3">
      <c r="A37" s="162">
        <v>7</v>
      </c>
      <c r="B37" s="161"/>
      <c r="C37" s="22"/>
    </row>
    <row r="38" spans="1:3">
      <c r="A38" s="162">
        <v>8</v>
      </c>
      <c r="B38" s="161"/>
      <c r="C38" s="22"/>
    </row>
    <row r="39" spans="1:3">
      <c r="A39" s="162">
        <v>9</v>
      </c>
      <c r="B39" s="161"/>
      <c r="C39" s="22"/>
    </row>
    <row r="40" spans="1:3">
      <c r="A40" s="19" t="s">
        <v>35</v>
      </c>
    </row>
    <row r="41" spans="1:3">
      <c r="A41" s="160"/>
    </row>
    <row r="42" spans="1:3">
      <c r="A42" s="160"/>
    </row>
    <row r="43" spans="1:3">
      <c r="A43" s="160"/>
    </row>
    <row r="44" spans="1:3">
      <c r="A44" s="160"/>
    </row>
    <row r="45" spans="1:3">
      <c r="A45" s="160"/>
    </row>
  </sheetData>
  <sheetProtection algorithmName="SHA-512" hashValue="Ic9iCaAZZIwd1wEVR6fcy6HAZo0XRXUpFocfpUwk9dPabRIOo75VZXyPguaPZh2sF37EPEij8wnWkayRN4Nm5Q==" saltValue="FeBDKVPyqUFGc5algWLbCQ==" spinCount="100000" sheet="1" objects="1" scenarios="1"/>
  <mergeCells count="7">
    <mergeCell ref="E3:F3"/>
    <mergeCell ref="A12:A14"/>
    <mergeCell ref="A20:B20"/>
    <mergeCell ref="A19:B19"/>
    <mergeCell ref="A3:C3"/>
    <mergeCell ref="A4:A11"/>
    <mergeCell ref="A15:A18"/>
  </mergeCells>
  <dataValidations count="4">
    <dataValidation type="list" allowBlank="1" showInputMessage="1" showErrorMessage="1" sqref="C19" xr:uid="{401F1B09-346B-4E4D-8024-FF7E57010517}">
      <formula1>$A$28:$A$29</formula1>
    </dataValidation>
    <dataValidation type="whole" allowBlank="1" showInputMessage="1" showErrorMessage="1" sqref="C11" xr:uid="{8A6AB204-B207-4998-B0A8-39ADBC84AE8F}">
      <formula1>0</formula1>
      <formula2>3</formula2>
    </dataValidation>
    <dataValidation type="list" allowBlank="1" showInputMessage="1" showErrorMessage="1" sqref="C18" xr:uid="{DA586EAF-9BE6-4F0B-9362-4A2E5921C759}">
      <formula1>$A$31:$A$40</formula1>
    </dataValidation>
    <dataValidation type="list" allowBlank="1" showInputMessage="1" showErrorMessage="1" sqref="C20" xr:uid="{AABFB5FA-D7DF-45B7-ACCB-2893A9F16E5D}">
      <formula1>$A$21:$A$22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9C03472-A148-4623-AB8B-C47CC2460EC1}">
          <x14:formula1>
            <xm:f>'Simulateur calcul'!$A$25:$A$26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F1DEC-F34C-4966-8F8C-CAFB9C1350A7}">
  <sheetPr>
    <pageSetUpPr fitToPage="1"/>
  </sheetPr>
  <dimension ref="A1:S42"/>
  <sheetViews>
    <sheetView showGridLines="0" tabSelected="1" topLeftCell="G1" zoomScale="90" zoomScaleNormal="90" workbookViewId="0">
      <selection activeCell="B4" sqref="B4"/>
    </sheetView>
  </sheetViews>
  <sheetFormatPr defaultColWidth="11.42578125" defaultRowHeight="15"/>
  <cols>
    <col min="1" max="1" width="33.5703125" style="23" customWidth="1"/>
    <col min="2" max="2" width="32.42578125" style="23" bestFit="1" customWidth="1"/>
    <col min="3" max="3" width="16" style="23" customWidth="1"/>
    <col min="4" max="4" width="25.85546875" style="23" bestFit="1" customWidth="1"/>
    <col min="5" max="5" width="11.140625" style="23" customWidth="1"/>
    <col min="6" max="6" width="4.28515625" style="23" customWidth="1"/>
    <col min="7" max="7" width="6.85546875" style="23" customWidth="1"/>
    <col min="8" max="8" width="34.42578125" style="23" customWidth="1"/>
    <col min="9" max="9" width="16.42578125" style="23" bestFit="1" customWidth="1"/>
    <col min="10" max="11" width="5.5703125" style="23" customWidth="1"/>
    <col min="12" max="12" width="4.140625" style="23" customWidth="1"/>
    <col min="13" max="13" width="37" style="23" bestFit="1" customWidth="1"/>
    <col min="14" max="14" width="16" style="23" bestFit="1" customWidth="1"/>
    <col min="15" max="15" width="5" style="23" customWidth="1"/>
    <col min="16" max="16" width="3.28515625" style="23" customWidth="1"/>
    <col min="17" max="17" width="4.42578125" style="23" customWidth="1"/>
    <col min="18" max="18" width="31.85546875" style="23" customWidth="1"/>
    <col min="19" max="19" width="17.85546875" style="23" bestFit="1" customWidth="1"/>
    <col min="20" max="20" width="14.85546875" style="23" bestFit="1" customWidth="1"/>
    <col min="21" max="16384" width="11.42578125" style="23"/>
  </cols>
  <sheetData>
    <row r="1" spans="1:19" ht="188.25" customHeight="1" thickBot="1"/>
    <row r="2" spans="1:19" s="28" customFormat="1" ht="28.5">
      <c r="A2" s="238" t="s">
        <v>36</v>
      </c>
      <c r="B2" s="238"/>
      <c r="C2" s="239">
        <v>2026</v>
      </c>
      <c r="D2" s="239"/>
      <c r="E2" s="24"/>
      <c r="F2" s="24"/>
      <c r="G2" s="25"/>
      <c r="H2" s="219" t="s">
        <v>7</v>
      </c>
      <c r="I2" s="220"/>
      <c r="J2" s="26"/>
      <c r="K2" s="26"/>
      <c r="L2" s="27"/>
      <c r="M2" s="223" t="s">
        <v>37</v>
      </c>
      <c r="N2" s="240"/>
      <c r="O2" s="27"/>
      <c r="P2" s="27"/>
      <c r="R2" s="219" t="s">
        <v>38</v>
      </c>
      <c r="S2" s="220"/>
    </row>
    <row r="3" spans="1:19" ht="19.5" thickBot="1">
      <c r="A3" s="243" t="s">
        <v>39</v>
      </c>
      <c r="B3" s="243"/>
      <c r="C3" s="243"/>
      <c r="D3" s="243"/>
      <c r="E3" s="29"/>
      <c r="F3" s="29"/>
      <c r="H3" s="230"/>
      <c r="I3" s="231"/>
      <c r="J3" s="26"/>
      <c r="K3" s="26"/>
      <c r="M3" s="241"/>
      <c r="N3" s="242"/>
      <c r="R3" s="221"/>
      <c r="S3" s="222"/>
    </row>
    <row r="4" spans="1:19" ht="42">
      <c r="A4" s="30" t="s">
        <v>40</v>
      </c>
      <c r="B4" s="31" t="str">
        <f>'Données à renseigner'!C4</f>
        <v>OUI</v>
      </c>
      <c r="C4" s="244"/>
      <c r="D4" s="244"/>
      <c r="E4" s="32"/>
      <c r="F4" s="33"/>
      <c r="H4" s="34" t="s">
        <v>41</v>
      </c>
      <c r="I4" s="35">
        <f>'Données à renseigner'!C11</f>
        <v>2</v>
      </c>
      <c r="J4" s="32"/>
      <c r="K4" s="33"/>
      <c r="L4" s="36"/>
      <c r="M4" s="37" t="s">
        <v>42</v>
      </c>
      <c r="N4" s="38">
        <v>8</v>
      </c>
      <c r="P4" s="39"/>
      <c r="R4" s="40" t="s">
        <v>43</v>
      </c>
      <c r="S4" s="41" t="str">
        <f>'Données à renseigner'!C20</f>
        <v>NON</v>
      </c>
    </row>
    <row r="5" spans="1:19" ht="18" thickBot="1">
      <c r="F5" s="39"/>
      <c r="H5" s="42" t="s">
        <v>44</v>
      </c>
      <c r="I5" s="43">
        <f>'Données à renseigner'!C5</f>
        <v>60</v>
      </c>
      <c r="J5" s="32"/>
      <c r="K5" s="33"/>
      <c r="L5" s="36"/>
      <c r="M5" s="44" t="s">
        <v>45</v>
      </c>
      <c r="N5" s="18">
        <f>B20</f>
        <v>6.8079000000000001</v>
      </c>
      <c r="P5" s="39"/>
      <c r="R5" s="45" t="s">
        <v>29</v>
      </c>
      <c r="S5" s="43" t="str">
        <f>'Données à renseigner'!C19</f>
        <v xml:space="preserve">Public </v>
      </c>
    </row>
    <row r="6" spans="1:19" ht="33" thickBot="1">
      <c r="A6" s="129" t="s">
        <v>46</v>
      </c>
      <c r="B6" s="224" t="str">
        <f>IF(B4="oui","Fournissant les couches et les repas","Ne fournissant pas les couches et les repas")</f>
        <v>Fournissant les couches et les repas</v>
      </c>
      <c r="C6" s="225"/>
      <c r="D6" s="226"/>
      <c r="E6" s="46"/>
      <c r="F6" s="47"/>
      <c r="H6" s="44" t="s">
        <v>45</v>
      </c>
      <c r="I6" s="17">
        <f>B20</f>
        <v>6.8079000000000001</v>
      </c>
      <c r="J6" s="12"/>
      <c r="K6" s="14"/>
      <c r="L6" s="36"/>
      <c r="M6" s="48" t="s">
        <v>47</v>
      </c>
      <c r="N6" s="43">
        <f>'Données à renseigner'!C7</f>
        <v>111</v>
      </c>
      <c r="P6" s="39"/>
      <c r="R6" s="49" t="s">
        <v>48</v>
      </c>
      <c r="S6" s="50">
        <f>IF('Données à renseigner'!C19="Public ",475,970)</f>
        <v>475</v>
      </c>
    </row>
    <row r="7" spans="1:19" ht="60.75" thickBot="1">
      <c r="A7" s="51" t="s">
        <v>49</v>
      </c>
      <c r="B7" s="52" t="s">
        <v>50</v>
      </c>
      <c r="C7" s="53" t="s">
        <v>51</v>
      </c>
      <c r="D7" s="54" t="s">
        <v>52</v>
      </c>
      <c r="E7" s="55"/>
      <c r="F7" s="56"/>
      <c r="H7" s="124" t="s">
        <v>53</v>
      </c>
      <c r="I7" s="125">
        <f>(I4*10*I5*I6)*B16</f>
        <v>8059.1920200000004</v>
      </c>
      <c r="J7" s="13"/>
      <c r="K7" s="15"/>
      <c r="L7" s="36"/>
      <c r="M7" s="124" t="s">
        <v>54</v>
      </c>
      <c r="N7" s="126">
        <f>(N4*N5*N6)*B16</f>
        <v>5963.8020948000003</v>
      </c>
      <c r="P7" s="39"/>
      <c r="R7" s="127" t="s">
        <v>55</v>
      </c>
      <c r="S7" s="128">
        <f>IF(S4="oui",S6*I5,0)</f>
        <v>0</v>
      </c>
    </row>
    <row r="8" spans="1:19">
      <c r="A8" s="57" t="s">
        <v>56</v>
      </c>
      <c r="B8" s="4">
        <f>ROUND(IF($B$4="oui",10.315,9.982),3)</f>
        <v>10.315</v>
      </c>
      <c r="C8" s="1">
        <f>ROUND(B8*66%,4)</f>
        <v>6.8079000000000001</v>
      </c>
      <c r="D8" s="227" cm="1">
        <f t="array" ref="D8">_xlfn.IFS(B14&lt;=107,B8,B14&lt;=120,B9,B14&gt;120,B10)</f>
        <v>10.315</v>
      </c>
      <c r="E8" s="10"/>
      <c r="F8" s="11"/>
      <c r="K8" s="39"/>
      <c r="P8" s="39"/>
      <c r="R8" s="58"/>
      <c r="S8" s="59"/>
    </row>
    <row r="9" spans="1:19">
      <c r="A9" s="60" t="s">
        <v>57</v>
      </c>
      <c r="B9" s="8">
        <f>ROUND(IF($B$4="oui",23.96+(-12.752*B14%),23.63+(-12.752*B14%)),3)</f>
        <v>10.57</v>
      </c>
      <c r="C9" s="2">
        <f>ROUND(B9*66%,4)</f>
        <v>6.9762000000000004</v>
      </c>
      <c r="D9" s="228"/>
      <c r="E9" s="10"/>
      <c r="F9" s="11"/>
      <c r="K9" s="39"/>
      <c r="P9" s="39"/>
      <c r="R9" s="61"/>
      <c r="S9" s="62"/>
    </row>
    <row r="10" spans="1:19" ht="15.75" thickBot="1">
      <c r="A10" s="63" t="s">
        <v>58</v>
      </c>
      <c r="B10" s="5">
        <f>ROUND(IF($B$4="oui",8.658,8.328),3)</f>
        <v>8.6579999999999995</v>
      </c>
      <c r="C10" s="3">
        <f>ROUND(B10*66%,4)</f>
        <v>5.7142999999999997</v>
      </c>
      <c r="D10" s="229"/>
      <c r="E10" s="10"/>
      <c r="F10" s="11"/>
      <c r="H10" s="39"/>
      <c r="I10" s="39"/>
      <c r="K10" s="39"/>
      <c r="M10" s="39"/>
      <c r="N10" s="39"/>
      <c r="P10" s="39"/>
      <c r="R10" s="39"/>
      <c r="S10" s="39"/>
    </row>
    <row r="11" spans="1:19" ht="15.75" thickBot="1">
      <c r="A11" s="64"/>
      <c r="B11" s="59"/>
      <c r="C11" s="65"/>
      <c r="D11" s="59"/>
      <c r="E11" s="66"/>
      <c r="F11" s="67"/>
      <c r="G11" s="65"/>
      <c r="K11" s="39"/>
      <c r="P11" s="39"/>
      <c r="R11" s="68"/>
      <c r="S11" s="69"/>
    </row>
    <row r="12" spans="1:19" ht="18.75">
      <c r="A12" s="70" t="s">
        <v>59</v>
      </c>
      <c r="B12" s="71">
        <f>'Données à renseigner'!C9</f>
        <v>69525</v>
      </c>
      <c r="C12" s="72" t="s">
        <v>60</v>
      </c>
      <c r="D12" s="73">
        <f>'Données à renseigner'!C14</f>
        <v>733730</v>
      </c>
      <c r="E12" s="74"/>
      <c r="F12" s="75"/>
      <c r="H12" s="219" t="s">
        <v>11</v>
      </c>
      <c r="I12" s="220"/>
      <c r="J12" s="26"/>
      <c r="K12" s="76"/>
      <c r="M12" s="219" t="s">
        <v>13</v>
      </c>
      <c r="N12" s="220"/>
      <c r="P12" s="39"/>
      <c r="R12" s="223" t="s">
        <v>61</v>
      </c>
      <c r="S12" s="220"/>
    </row>
    <row r="13" spans="1:19" ht="19.5" thickBot="1">
      <c r="A13" s="77" t="s">
        <v>62</v>
      </c>
      <c r="B13" s="78">
        <f>'Données à renseigner'!C8</f>
        <v>66214</v>
      </c>
      <c r="C13" s="232" t="s">
        <v>63</v>
      </c>
      <c r="D13" s="234">
        <f>'Données à renseigner'!C12</f>
        <v>115412.86</v>
      </c>
      <c r="E13" s="79"/>
      <c r="F13" s="80"/>
      <c r="H13" s="230"/>
      <c r="I13" s="231"/>
      <c r="J13" s="26"/>
      <c r="K13" s="76"/>
      <c r="M13" s="221"/>
      <c r="N13" s="222"/>
      <c r="P13" s="39"/>
      <c r="R13" s="221"/>
      <c r="S13" s="222"/>
    </row>
    <row r="14" spans="1:19" ht="45.75" thickBot="1">
      <c r="A14" s="81" t="s">
        <v>64</v>
      </c>
      <c r="B14" s="7">
        <f>(B12/B13)*100</f>
        <v>105.00045307638868</v>
      </c>
      <c r="C14" s="233"/>
      <c r="D14" s="235"/>
      <c r="E14" s="79"/>
      <c r="F14" s="80"/>
      <c r="H14" s="236" t="s">
        <v>65</v>
      </c>
      <c r="I14" s="237"/>
      <c r="J14" s="82"/>
      <c r="K14" s="83"/>
      <c r="M14" s="84" t="s">
        <v>66</v>
      </c>
      <c r="N14" s="35">
        <f>'Données à renseigner'!C10</f>
        <v>2</v>
      </c>
      <c r="P14" s="39"/>
      <c r="R14" s="131" t="s">
        <v>67</v>
      </c>
      <c r="S14" s="130">
        <f>'Données à renseigner'!F4+'Données à renseigner'!F5+'Données à renseigner'!F6+'Données à renseigner'!F7+'Données à renseigner'!F8+'Données à renseigner'!F9+'Données à renseigner'!C12+'Données à renseigner'!C13</f>
        <v>484493.55916885409</v>
      </c>
    </row>
    <row r="15" spans="1:19" ht="30">
      <c r="A15" s="64"/>
      <c r="B15" s="85"/>
      <c r="C15" s="85"/>
      <c r="D15" s="85"/>
      <c r="E15" s="85"/>
      <c r="F15" s="86"/>
      <c r="H15" s="87" t="s">
        <v>68</v>
      </c>
      <c r="I15" s="88">
        <f>D13/B12</f>
        <v>1.6600195613088817</v>
      </c>
      <c r="J15" s="89"/>
      <c r="K15" s="90"/>
      <c r="M15" s="91" t="s">
        <v>69</v>
      </c>
      <c r="N15" s="92">
        <f>(N14/N6)</f>
        <v>1.8018018018018018E-2</v>
      </c>
      <c r="P15" s="39"/>
      <c r="R15" s="141" t="s">
        <v>70</v>
      </c>
      <c r="S15" s="151">
        <f>'Données à renseigner'!C14*90/100</f>
        <v>660357</v>
      </c>
    </row>
    <row r="16" spans="1:19" ht="36" customHeight="1">
      <c r="A16" s="93" t="s">
        <v>71</v>
      </c>
      <c r="B16" s="136">
        <f>'Données à renseigner'!C6</f>
        <v>0.98650000000000004</v>
      </c>
      <c r="C16" s="85"/>
      <c r="D16" s="85"/>
      <c r="E16" s="85"/>
      <c r="F16" s="86"/>
      <c r="H16" s="42" t="s">
        <v>44</v>
      </c>
      <c r="I16" s="43">
        <f>'Données à renseigner'!C5</f>
        <v>60</v>
      </c>
      <c r="J16" s="64"/>
      <c r="K16" s="94"/>
      <c r="M16" s="95" t="s">
        <v>72</v>
      </c>
      <c r="N16" s="96" cm="1">
        <f t="array" ref="N16">_xlfn.IFS(N15&lt;5%,15%,N15&lt;7.5%,30%,N15&gt;=7.5%,45%)</f>
        <v>0.15</v>
      </c>
      <c r="P16" s="39"/>
      <c r="R16" s="141" t="s">
        <v>73</v>
      </c>
      <c r="S16" s="142">
        <f>S14/'Données à renseigner'!C14</f>
        <v>0.66031586437634293</v>
      </c>
    </row>
    <row r="17" spans="1:19" ht="30.75" thickBot="1">
      <c r="F17" s="39"/>
      <c r="H17" s="95" t="s">
        <v>74</v>
      </c>
      <c r="I17" s="97" cm="1">
        <f t="array" ref="I17">_xlfn.IFS(I15&lt;=0.93,2100,I15&lt;=1.23,800,I15&lt;=1.56,300,I15&gt;1.56,0)</f>
        <v>0</v>
      </c>
      <c r="J17" s="59"/>
      <c r="K17" s="67"/>
      <c r="M17" s="98" t="s">
        <v>75</v>
      </c>
      <c r="N17" s="99">
        <f>D12/I5</f>
        <v>12228.833333333334</v>
      </c>
      <c r="P17" s="39"/>
      <c r="R17" s="143" t="s">
        <v>76</v>
      </c>
      <c r="S17" s="144">
        <f>('Données à renseigner'!F11+'Données à renseigner'!C12)/'Données à renseigner'!C14</f>
        <v>0.9</v>
      </c>
    </row>
    <row r="18" spans="1:19" ht="38.25" thickBot="1">
      <c r="A18" s="100" t="s">
        <v>77</v>
      </c>
      <c r="B18" s="9">
        <f>ROUND(D12/B13,4)</f>
        <v>11.081200000000001</v>
      </c>
      <c r="F18" s="39"/>
      <c r="H18" s="120" t="s">
        <v>78</v>
      </c>
      <c r="I18" s="121">
        <f>I17*'Données à renseigner'!C5</f>
        <v>0</v>
      </c>
      <c r="J18" s="13"/>
      <c r="K18" s="15"/>
      <c r="M18" s="98" t="s">
        <v>79</v>
      </c>
      <c r="N18" s="97" cm="1">
        <f t="array" ref="N18">_xlfn.IFS(N15&gt;=7.5%,22898,N15&gt;=5%,9159+(N15*183177),N15&lt;5%,18318)</f>
        <v>18318</v>
      </c>
      <c r="O18" s="101"/>
      <c r="P18" s="39"/>
      <c r="R18" s="149" t="s">
        <v>80</v>
      </c>
      <c r="S18" s="150">
        <f>'Données à renseigner'!C18</f>
        <v>9</v>
      </c>
    </row>
    <row r="19" spans="1:19" ht="34.5" thickBot="1">
      <c r="A19" s="102" t="s">
        <v>81</v>
      </c>
      <c r="B19" s="6">
        <f>MIN(D8,B18)</f>
        <v>10.315</v>
      </c>
      <c r="F19" s="39"/>
      <c r="K19" s="39"/>
      <c r="M19" s="91" t="s">
        <v>82</v>
      </c>
      <c r="N19" s="103">
        <f>MIN(N18,N17)</f>
        <v>12228.833333333334</v>
      </c>
      <c r="P19" s="39"/>
      <c r="R19" s="149" t="s">
        <v>83</v>
      </c>
      <c r="S19" s="163">
        <f>'Données à renseigner'!C15</f>
        <v>55</v>
      </c>
    </row>
    <row r="20" spans="1:19" ht="75.75" thickBot="1">
      <c r="A20" s="183" t="s">
        <v>84</v>
      </c>
      <c r="B20" s="184">
        <f>ROUND(B19*66%,4)</f>
        <v>6.8079000000000001</v>
      </c>
      <c r="C20" s="64"/>
      <c r="D20" s="64"/>
      <c r="E20" s="64"/>
      <c r="F20" s="94"/>
      <c r="K20" s="39"/>
      <c r="M20" s="95" t="s">
        <v>85</v>
      </c>
      <c r="N20" s="99">
        <f>((N14/N6)*N16*N19)</f>
        <v>33.050900900900899</v>
      </c>
      <c r="P20" s="39"/>
      <c r="R20" s="164" t="s">
        <v>86</v>
      </c>
      <c r="S20" s="158">
        <f>'Données à renseigner'!C17+'Données à renseigner'!C17*8.1%</f>
        <v>1837.7</v>
      </c>
    </row>
    <row r="21" spans="1:19" ht="75.75" thickBot="1">
      <c r="A21" s="185" t="s">
        <v>87</v>
      </c>
      <c r="B21" s="186">
        <f>(B12*B20-D13)</f>
        <v>357906.38750000001</v>
      </c>
      <c r="F21" s="39"/>
      <c r="K21" s="39"/>
      <c r="M21" s="104" t="s">
        <v>88</v>
      </c>
      <c r="N21" s="105">
        <v>1488</v>
      </c>
      <c r="P21" s="39"/>
      <c r="R21" s="157" t="s">
        <v>89</v>
      </c>
      <c r="S21" s="158" cm="1">
        <f t="array" ref="S21">_xlfn.IFS(S18=1,540,S18=2,920,S18=3,1030,+S18=4,1190,+S18=5,1300,+S18=6,1570,+S18=7,1730,+S18=8,2160,+S18=9,3240,+S18="Non éligible",0)</f>
        <v>3240</v>
      </c>
    </row>
    <row r="22" spans="1:19" ht="57" thickBot="1">
      <c r="A22" s="187" t="s">
        <v>90</v>
      </c>
      <c r="B22" s="196">
        <f>ROUND(B21*B16,3)</f>
        <v>353074.65100000001</v>
      </c>
      <c r="C22" s="248" t="s">
        <v>91</v>
      </c>
      <c r="D22" s="248"/>
      <c r="E22" s="106"/>
      <c r="F22" s="107"/>
      <c r="K22" s="39"/>
      <c r="M22" s="108" t="s">
        <v>92</v>
      </c>
      <c r="N22" s="109">
        <f>MIN(N20,N21)</f>
        <v>33.050900900900899</v>
      </c>
      <c r="P22" s="39"/>
      <c r="R22" s="139" t="s">
        <v>93</v>
      </c>
      <c r="S22" s="140">
        <f>IF(S20&gt;S21,S20*'Données à renseigner'!C15,S21*'Données à renseigner'!C15)</f>
        <v>178200</v>
      </c>
    </row>
    <row r="23" spans="1:19" ht="34.5" thickBot="1">
      <c r="D23" s="110"/>
      <c r="E23" s="111"/>
      <c r="F23" s="111"/>
      <c r="G23" s="112"/>
      <c r="K23" s="39"/>
      <c r="M23" s="113"/>
      <c r="N23" s="114"/>
      <c r="P23" s="39"/>
      <c r="R23" s="145" t="s">
        <v>94</v>
      </c>
      <c r="S23" s="159">
        <f>'Données à renseigner'!C16</f>
        <v>0</v>
      </c>
    </row>
    <row r="24" spans="1:19" ht="57" thickBot="1">
      <c r="A24" s="116" t="s">
        <v>95</v>
      </c>
      <c r="K24" s="39"/>
      <c r="M24" s="122" t="s">
        <v>96</v>
      </c>
      <c r="N24" s="123">
        <f>I5*N22</f>
        <v>1983.0540540540539</v>
      </c>
      <c r="P24" s="39"/>
      <c r="R24" s="157" t="s">
        <v>97</v>
      </c>
      <c r="S24" s="158" cm="1">
        <f t="array" ref="S24">_xlfn.IFS(S18=1,2600,S18=2,2650,S18=3,2700,+S18=4,2750,+S18=5,2800,+S18=6,2900,+S18=7,3000,+S18=8,3300,+S18=9,3600,+S18="Non éligible",0)</f>
        <v>3600</v>
      </c>
    </row>
    <row r="25" spans="1:19" ht="57" thickBot="1">
      <c r="A25" s="115" t="s">
        <v>4</v>
      </c>
      <c r="K25" s="39"/>
      <c r="P25" s="39"/>
      <c r="R25" s="139" t="s">
        <v>97</v>
      </c>
      <c r="S25" s="140">
        <f>S24*'Données à renseigner'!C16</f>
        <v>0</v>
      </c>
    </row>
    <row r="26" spans="1:19" ht="19.5" thickBot="1">
      <c r="A26" s="115" t="s">
        <v>32</v>
      </c>
      <c r="D26" s="112"/>
      <c r="R26" s="137" t="s">
        <v>98</v>
      </c>
      <c r="S26" s="138">
        <f>S22+S25</f>
        <v>178200</v>
      </c>
    </row>
    <row r="27" spans="1:19" ht="15.75" thickBot="1">
      <c r="R27" s="152" t="s">
        <v>99</v>
      </c>
      <c r="S27" s="153">
        <f>S26-S28</f>
        <v>2336.5591688540881</v>
      </c>
    </row>
    <row r="28" spans="1:19" ht="38.25" thickBot="1">
      <c r="R28" s="154" t="s">
        <v>100</v>
      </c>
      <c r="S28" s="155">
        <f>IF(S26&lt;S15-S14,S26,S15-S14)</f>
        <v>175863.44083114591</v>
      </c>
    </row>
    <row r="31" spans="1:19" ht="15.75" thickBot="1"/>
    <row r="32" spans="1:19" ht="15.75" thickBot="1">
      <c r="A32" s="173" t="s">
        <v>101</v>
      </c>
      <c r="B32" s="245" t="s">
        <v>102</v>
      </c>
      <c r="C32" s="245"/>
      <c r="D32" s="246" t="s">
        <v>103</v>
      </c>
      <c r="E32" s="28"/>
    </row>
    <row r="33" spans="1:4" ht="19.5" thickBot="1">
      <c r="A33" s="169" t="s">
        <v>34</v>
      </c>
      <c r="B33" s="174">
        <v>2026</v>
      </c>
      <c r="C33" s="175">
        <v>2027</v>
      </c>
      <c r="D33" s="247"/>
    </row>
    <row r="34" spans="1:4" ht="18.75">
      <c r="A34" s="170">
        <v>1</v>
      </c>
      <c r="B34" s="166">
        <v>540</v>
      </c>
      <c r="C34" s="176">
        <v>580</v>
      </c>
      <c r="D34" s="179">
        <v>2600</v>
      </c>
    </row>
    <row r="35" spans="1:4" ht="18.75">
      <c r="A35" s="171">
        <v>2</v>
      </c>
      <c r="B35" s="167">
        <v>920</v>
      </c>
      <c r="C35" s="177">
        <v>990</v>
      </c>
      <c r="D35" s="180">
        <v>2650</v>
      </c>
    </row>
    <row r="36" spans="1:4" ht="18.75">
      <c r="A36" s="171">
        <v>3</v>
      </c>
      <c r="B36" s="167">
        <v>1030</v>
      </c>
      <c r="C36" s="177">
        <v>1110</v>
      </c>
      <c r="D36" s="180">
        <v>2700</v>
      </c>
    </row>
    <row r="37" spans="1:4" ht="18.75">
      <c r="A37" s="171">
        <v>4</v>
      </c>
      <c r="B37" s="167">
        <v>1190</v>
      </c>
      <c r="C37" s="177">
        <v>1290</v>
      </c>
      <c r="D37" s="180">
        <v>2750</v>
      </c>
    </row>
    <row r="38" spans="1:4" ht="18.75">
      <c r="A38" s="171">
        <v>5</v>
      </c>
      <c r="B38" s="167">
        <v>1300</v>
      </c>
      <c r="C38" s="177">
        <v>1410</v>
      </c>
      <c r="D38" s="180">
        <v>2800</v>
      </c>
    </row>
    <row r="39" spans="1:4" ht="18.75">
      <c r="A39" s="171">
        <v>6</v>
      </c>
      <c r="B39" s="167">
        <v>1570</v>
      </c>
      <c r="C39" s="177">
        <v>1700</v>
      </c>
      <c r="D39" s="180">
        <v>2900</v>
      </c>
    </row>
    <row r="40" spans="1:4" ht="18.75">
      <c r="A40" s="171">
        <v>7</v>
      </c>
      <c r="B40" s="167">
        <v>1730</v>
      </c>
      <c r="C40" s="177">
        <v>1870</v>
      </c>
      <c r="D40" s="180">
        <v>3000</v>
      </c>
    </row>
    <row r="41" spans="1:4" ht="18.75">
      <c r="A41" s="171">
        <v>8</v>
      </c>
      <c r="B41" s="167">
        <v>2160</v>
      </c>
      <c r="C41" s="177">
        <v>2330</v>
      </c>
      <c r="D41" s="180">
        <v>3300</v>
      </c>
    </row>
    <row r="42" spans="1:4" ht="19.5" thickBot="1">
      <c r="A42" s="172">
        <v>9</v>
      </c>
      <c r="B42" s="168">
        <v>3240</v>
      </c>
      <c r="C42" s="178">
        <v>3500</v>
      </c>
      <c r="D42" s="181">
        <v>3600</v>
      </c>
    </row>
  </sheetData>
  <sheetProtection algorithmName="SHA-512" hashValue="a3AhnrTZs7lXxDt0XUfq856PywYeoN2okgX2+wMDG/Z0yRVF0KFgyn7U26/pRlKw5zythmfB1BqdMtc8pnJOug==" saltValue="DycIMfGc1K9tjSBxK3QDxA==" spinCount="100000" sheet="1" objects="1" scenarios="1"/>
  <mergeCells count="18">
    <mergeCell ref="B32:C32"/>
    <mergeCell ref="D32:D33"/>
    <mergeCell ref="C22:D22"/>
    <mergeCell ref="R2:S3"/>
    <mergeCell ref="R12:S13"/>
    <mergeCell ref="B6:D6"/>
    <mergeCell ref="D8:D10"/>
    <mergeCell ref="H12:I13"/>
    <mergeCell ref="M12:N13"/>
    <mergeCell ref="C13:C14"/>
    <mergeCell ref="D13:D14"/>
    <mergeCell ref="H14:I14"/>
    <mergeCell ref="A2:B2"/>
    <mergeCell ref="C2:D2"/>
    <mergeCell ref="H2:I3"/>
    <mergeCell ref="M2:N3"/>
    <mergeCell ref="A3:D3"/>
    <mergeCell ref="C4:D4"/>
  </mergeCells>
  <dataValidations count="1">
    <dataValidation type="whole" allowBlank="1" showInputMessage="1" showErrorMessage="1" sqref="I4:K4" xr:uid="{B24EF7CC-C2BE-40DB-82FD-43354CFD1C15}">
      <formula1>0</formula1>
      <formula2>3</formula2>
    </dataValidation>
  </dataValidations>
  <pageMargins left="0.70866141732283472" right="0.70866141732283472" top="0.74803149606299213" bottom="0.74803149606299213" header="0.31496062992125984" footer="0.31496062992125984"/>
  <pageSetup paperSize="9" scale="3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DADB1-90D2-48A1-B310-5432E3626F25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bd68ec-473e-4755-967e-0504d4d01eb0" xsi:nil="true"/>
    <lcf76f155ced4ddcb4097134ff3c332f xmlns="511d7485-b5e4-4a65-9485-c689b0f8067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D955B3C14CFA4B921962D5D0F30967" ma:contentTypeVersion="11" ma:contentTypeDescription="Crée un document." ma:contentTypeScope="" ma:versionID="d3ee0dc8ba45e446b49ecfd398c8d92a">
  <xsd:schema xmlns:xsd="http://www.w3.org/2001/XMLSchema" xmlns:xs="http://www.w3.org/2001/XMLSchema" xmlns:p="http://schemas.microsoft.com/office/2006/metadata/properties" xmlns:ns2="511d7485-b5e4-4a65-9485-c689b0f80678" xmlns:ns3="f4bd68ec-473e-4755-967e-0504d4d01eb0" targetNamespace="http://schemas.microsoft.com/office/2006/metadata/properties" ma:root="true" ma:fieldsID="52797b1a3e93984c51d2b913e2b45577" ns2:_="" ns3:_="">
    <xsd:import namespace="511d7485-b5e4-4a65-9485-c689b0f80678"/>
    <xsd:import namespace="f4bd68ec-473e-4755-967e-0504d4d01e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d7485-b5e4-4a65-9485-c689b0f806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6d3a89c3-dfa8-4892-b639-3079eaac7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d68ec-473e-4755-967e-0504d4d01eb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c2699ee-6f67-4608-9ed2-bb0c8df52798}" ma:internalName="TaxCatchAll" ma:showField="CatchAllData" ma:web="f4bd68ec-473e-4755-967e-0504d4d01e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DE35BB-A3BD-4B58-939D-9E7925FEA206}"/>
</file>

<file path=customXml/itemProps2.xml><?xml version="1.0" encoding="utf-8"?>
<ds:datastoreItem xmlns:ds="http://schemas.openxmlformats.org/officeDocument/2006/customXml" ds:itemID="{5B863B45-18DF-458D-8D35-2A14409720C6}"/>
</file>

<file path=customXml/itemProps3.xml><?xml version="1.0" encoding="utf-8"?>
<ds:datastoreItem xmlns:ds="http://schemas.openxmlformats.org/officeDocument/2006/customXml" ds:itemID="{9E197914-91B2-4534-9B2E-4E3DC91ACA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CNAF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Delphine PONTY 301</dc:creator>
  <cp:keywords/>
  <dc:description/>
  <cp:lastModifiedBy>Marie-Paule BIANCHI 202</cp:lastModifiedBy>
  <cp:revision/>
  <dcterms:created xsi:type="dcterms:W3CDTF">2024-10-10T07:54:54Z</dcterms:created>
  <dcterms:modified xsi:type="dcterms:W3CDTF">2026-06-03T12:01:54Z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0x01010084D955B3C14CFA4B921962D5D0F30967</vt:lpwstr>
  </property>
  <property fmtid="{D5CDD505-2E9C-101B-9397-08002B2CF9AE}" pid="3" name="MediaServiceImageTags">
    <vt:lpwstr/>
  </property>
</Properties>
</file>